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xr:revisionPtr revIDLastSave="0" documentId="10_ncr:100000_{EC1CADB9-D854-439A-89F0-E2F11E412FF8}" xr6:coauthVersionLast="31" xr6:coauthVersionMax="31" xr10:uidLastSave="{00000000-0000-0000-0000-000000000000}"/>
  <bookViews>
    <workbookView xWindow="0" yWindow="0" windowWidth="17490" windowHeight="7980" xr2:uid="{00000000-000D-0000-FFFF-FFFF00000000}"/>
  </bookViews>
  <sheets>
    <sheet name="study base" sheetId="1" r:id="rId1"/>
    <sheet name="graphics" sheetId="2" r:id="rId2"/>
    <sheet name="user notes" sheetId="3" r:id="rId3"/>
    <sheet name="disclaimers" sheetId="4" r:id="rId4"/>
  </sheets>
  <calcPr calcId="179017" calcMode="autoNoTable" iterate="1" iterateCount="1" iterateDelta="0"/>
</workbook>
</file>

<file path=xl/calcChain.xml><?xml version="1.0" encoding="utf-8"?>
<calcChain xmlns="http://schemas.openxmlformats.org/spreadsheetml/2006/main">
  <c r="F146" i="1" l="1"/>
  <c r="D89" i="1" l="1"/>
  <c r="C89" i="1"/>
  <c r="F89" i="1" l="1"/>
  <c r="C15" i="1"/>
  <c r="D92" i="1" l="1"/>
  <c r="C92" i="1"/>
  <c r="F92" i="1" l="1"/>
  <c r="D122" i="1"/>
  <c r="C122" i="1"/>
  <c r="F122" i="1" l="1"/>
  <c r="D51" i="1"/>
  <c r="C51" i="1"/>
  <c r="F51" i="1" l="1"/>
  <c r="S62" i="1"/>
  <c r="O62" i="1"/>
  <c r="F62" i="1"/>
  <c r="K62" i="1" s="1"/>
  <c r="O64" i="1"/>
  <c r="S64" i="1"/>
  <c r="F64" i="1"/>
  <c r="K64" i="1" s="1"/>
  <c r="R47" i="1" l="1"/>
  <c r="N47" i="1"/>
  <c r="R35" i="1"/>
  <c r="N35" i="1"/>
  <c r="R33" i="1"/>
  <c r="N33" i="1"/>
  <c r="R28" i="1"/>
  <c r="N28" i="1"/>
  <c r="R26" i="1"/>
  <c r="N26" i="1"/>
  <c r="F33" i="1"/>
  <c r="J33" i="1" s="1"/>
  <c r="F35" i="1"/>
  <c r="J35" i="1" s="1"/>
  <c r="F47" i="1"/>
  <c r="J47" i="1" s="1"/>
  <c r="F26" i="1"/>
  <c r="J26" i="1" s="1"/>
  <c r="F28" i="1"/>
  <c r="J28" i="1" s="1"/>
  <c r="F79" i="1" l="1"/>
  <c r="D134" i="1" l="1"/>
  <c r="C134" i="1"/>
  <c r="F134" i="1" l="1"/>
  <c r="F58" i="1"/>
  <c r="F116" i="1"/>
  <c r="F46" i="1"/>
  <c r="F120" i="1" l="1"/>
  <c r="D109" i="1"/>
  <c r="C109" i="1"/>
  <c r="F109" i="1" l="1"/>
  <c r="F140" i="1"/>
  <c r="F107" i="1" l="1"/>
  <c r="D138" i="1"/>
  <c r="C138" i="1"/>
  <c r="D32" i="1"/>
  <c r="C32" i="1"/>
  <c r="F32" i="1" l="1"/>
  <c r="F138" i="1"/>
  <c r="C83" i="1"/>
  <c r="F83" i="1" s="1"/>
  <c r="D105" i="1" l="1"/>
  <c r="C105" i="1"/>
  <c r="F139" i="1"/>
  <c r="F105" i="1" l="1"/>
  <c r="F88" i="1"/>
  <c r="C43" i="1" l="1"/>
  <c r="F43" i="1" s="1"/>
  <c r="C162" i="1"/>
  <c r="F81" i="1"/>
  <c r="F75" i="1" l="1"/>
  <c r="F103" i="1"/>
  <c r="F70" i="1"/>
  <c r="F77" i="1"/>
  <c r="F119" i="1"/>
  <c r="F110" i="1" l="1"/>
  <c r="F147" i="1" l="1"/>
  <c r="F20" i="1"/>
  <c r="F55" i="1"/>
  <c r="D44" i="1" l="1"/>
  <c r="C44" i="1"/>
  <c r="D127" i="1"/>
  <c r="C127" i="1"/>
  <c r="T38" i="1" l="1"/>
  <c r="P38" i="1"/>
  <c r="D34" i="1"/>
  <c r="C34" i="1"/>
  <c r="D148" i="1"/>
  <c r="C148" i="1"/>
  <c r="E54" i="1"/>
  <c r="F54" i="1" s="1"/>
  <c r="E24" i="1"/>
  <c r="F34" i="1" l="1"/>
  <c r="C108" i="1"/>
  <c r="D108" i="1"/>
  <c r="F24" i="1" l="1"/>
  <c r="F97" i="1"/>
  <c r="F38" i="1"/>
  <c r="F21" i="1"/>
  <c r="F127" i="1"/>
  <c r="F44" i="1"/>
  <c r="F27" i="1"/>
  <c r="D101" i="1"/>
  <c r="C101" i="1"/>
  <c r="D121" i="1"/>
  <c r="C121" i="1"/>
  <c r="F65" i="1"/>
  <c r="F94" i="1"/>
  <c r="D69" i="1"/>
  <c r="C69" i="1"/>
  <c r="D87" i="1"/>
  <c r="C87" i="1"/>
  <c r="D61" i="1"/>
  <c r="C61" i="1"/>
  <c r="D63" i="1"/>
  <c r="C63" i="1"/>
  <c r="F36" i="1"/>
  <c r="F8" i="1"/>
  <c r="F15" i="1"/>
  <c r="F74" i="1"/>
  <c r="F12" i="1"/>
  <c r="F60" i="1"/>
  <c r="D39" i="1"/>
  <c r="C39" i="1"/>
  <c r="F30" i="1"/>
  <c r="F108" i="1"/>
  <c r="D56" i="1"/>
  <c r="C56" i="1"/>
  <c r="D96" i="1"/>
  <c r="C96" i="1"/>
  <c r="D115" i="1"/>
  <c r="C115" i="1"/>
  <c r="D125" i="1"/>
  <c r="C125" i="1"/>
  <c r="F11" i="1"/>
  <c r="F16" i="1"/>
  <c r="F131" i="1"/>
  <c r="D99" i="1"/>
  <c r="C99" i="1"/>
  <c r="F52" i="1"/>
  <c r="C133" i="1"/>
  <c r="D133" i="1"/>
  <c r="F85" i="1"/>
  <c r="D42" i="1"/>
  <c r="C42" i="1"/>
  <c r="F111" i="1"/>
  <c r="F102" i="1"/>
  <c r="F123" i="1"/>
  <c r="F68" i="1"/>
  <c r="F80" i="1"/>
  <c r="F93" i="1"/>
  <c r="F125" i="1" l="1"/>
  <c r="F115" i="1"/>
  <c r="F96" i="1"/>
  <c r="F101" i="1"/>
  <c r="F56" i="1"/>
  <c r="F69" i="1"/>
  <c r="L38" i="1"/>
  <c r="F87" i="1"/>
  <c r="F121" i="1"/>
  <c r="F61" i="1"/>
  <c r="F63" i="1"/>
  <c r="F99" i="1"/>
  <c r="F133" i="1"/>
  <c r="F42" i="1"/>
  <c r="C82" i="1"/>
  <c r="D82" i="1"/>
  <c r="F86" i="1"/>
  <c r="D57" i="1"/>
  <c r="C57" i="1"/>
  <c r="F90" i="1"/>
  <c r="F59" i="1"/>
  <c r="F57" i="1" l="1"/>
  <c r="F82" i="1"/>
  <c r="F143" i="1" l="1"/>
  <c r="F49" i="1"/>
  <c r="F148" i="1"/>
  <c r="E100" i="1"/>
  <c r="F100" i="1" s="1"/>
  <c r="F23" i="1"/>
  <c r="F73" i="1"/>
  <c r="F84" i="1"/>
  <c r="T19" i="1"/>
  <c r="P19" i="1"/>
  <c r="T45" i="1"/>
  <c r="P45" i="1"/>
  <c r="F130" i="1" l="1"/>
  <c r="F136" i="1"/>
  <c r="F41" i="1"/>
  <c r="D124" i="1"/>
  <c r="C124" i="1"/>
  <c r="D50" i="1"/>
  <c r="T50" i="1" s="1"/>
  <c r="C50" i="1"/>
  <c r="P50" i="1" s="1"/>
  <c r="D132" i="1"/>
  <c r="C132" i="1"/>
  <c r="F124" i="1" l="1"/>
  <c r="D126" i="1"/>
  <c r="C126" i="1"/>
  <c r="F132" i="1"/>
  <c r="F50" i="1"/>
  <c r="L50" i="1" s="1"/>
  <c r="D17" i="1"/>
  <c r="C17" i="1"/>
  <c r="F29" i="1"/>
  <c r="F98" i="1"/>
  <c r="F95" i="1"/>
  <c r="F91" i="1"/>
  <c r="F76" i="1"/>
  <c r="F71" i="1"/>
  <c r="F14" i="1"/>
  <c r="F10" i="1"/>
  <c r="F17" i="1" l="1"/>
  <c r="F126" i="1"/>
  <c r="F112" i="1"/>
  <c r="F13" i="1"/>
  <c r="F129" i="1"/>
  <c r="F37" i="1"/>
  <c r="F53" i="1"/>
  <c r="F40" i="1"/>
  <c r="F78" i="1"/>
  <c r="E31" i="1"/>
  <c r="F31" i="1" s="1"/>
  <c r="D22" i="1" l="1"/>
  <c r="Q22" i="1" s="1"/>
  <c r="C22" i="1"/>
  <c r="M22" i="1" s="1"/>
  <c r="F22" i="1" l="1"/>
  <c r="I22" i="1" s="1"/>
  <c r="F114" i="1"/>
  <c r="F39" i="1"/>
  <c r="F19" i="1"/>
  <c r="L19" i="1" s="1"/>
  <c r="F66" i="1"/>
  <c r="F118" i="1"/>
  <c r="F104" i="1"/>
  <c r="F18" i="1"/>
  <c r="F67" i="1"/>
  <c r="F72" i="1"/>
  <c r="F25" i="1"/>
  <c r="F128" i="1"/>
  <c r="F106" i="1"/>
  <c r="F9" i="1"/>
  <c r="F137" i="1"/>
  <c r="F135" i="1"/>
  <c r="F117" i="1"/>
  <c r="F48" i="1"/>
  <c r="F144" i="1"/>
  <c r="F145" i="1"/>
  <c r="F45" i="1"/>
  <c r="L45" i="1" s="1"/>
</calcChain>
</file>

<file path=xl/sharedStrings.xml><?xml version="1.0" encoding="utf-8"?>
<sst xmlns="http://schemas.openxmlformats.org/spreadsheetml/2006/main" count="501" uniqueCount="466">
  <si>
    <t>2016 Water &amp; Sewer Cost Study</t>
  </si>
  <si>
    <t>6000 gallons each of monthly water and sewer consumption</t>
  </si>
  <si>
    <t>Unit</t>
  </si>
  <si>
    <t>City of Ferrysburg</t>
  </si>
  <si>
    <t>City of Flushing</t>
  </si>
  <si>
    <t>Includes Add'l Cost</t>
  </si>
  <si>
    <t>Flat fee</t>
  </si>
  <si>
    <t>including all other costs (consumption, ready-to-serve costs, billing cost, trunkage, debt service charges, meter charges, etc)</t>
  </si>
  <si>
    <t>Village of Grosse Pointe Shores</t>
  </si>
  <si>
    <t>City of Grand Haven</t>
  </si>
  <si>
    <t>Village of Almont</t>
  </si>
  <si>
    <t>Spring Lake Township</t>
  </si>
  <si>
    <t>ready to serve charge based on meter size</t>
  </si>
  <si>
    <t>Village of Quincy</t>
  </si>
  <si>
    <t>Hartland Township</t>
  </si>
  <si>
    <t>total of all charges</t>
  </si>
  <si>
    <t>City of Tecumseh</t>
  </si>
  <si>
    <t>City of Adrian</t>
  </si>
  <si>
    <t>based on 5/8 meter size</t>
  </si>
  <si>
    <t>Village of Lake Orion</t>
  </si>
  <si>
    <t>includes meter charges - considering rate adjustments</t>
  </si>
  <si>
    <t>Village of Hart</t>
  </si>
  <si>
    <t>Village of Union City</t>
  </si>
  <si>
    <t>Includes water 24.98 RTS, sewer $42.98 RTS</t>
  </si>
  <si>
    <t>City of Grand Blanc</t>
  </si>
  <si>
    <t>City of DeWitt</t>
  </si>
  <si>
    <t>Water served by Lansing Board of Water &amp; Light</t>
  </si>
  <si>
    <t>City of Grandville</t>
  </si>
  <si>
    <t>City of Munising</t>
  </si>
  <si>
    <t>Includes RTS on both water &amp; sewer</t>
  </si>
  <si>
    <t xml:space="preserve"> Eric Zuzga eric.zuzga@quincy-mi.org</t>
  </si>
  <si>
    <t>Dorothea Olson dolson@crystalfalls.org</t>
  </si>
  <si>
    <t>City of Crystal Falls</t>
  </si>
  <si>
    <t>James Wickman jwickman@hartlandtwp.com</t>
  </si>
  <si>
    <t>Dan Swallow dswallow@tecumseh.mi.us</t>
  </si>
  <si>
    <t>Shane Horn SHorn@adrianmi.gov</t>
  </si>
  <si>
    <t>Gordon Gallagher &lt;GGallagher@springlaketwp.org&gt;</t>
  </si>
  <si>
    <t xml:space="preserve"> Patrick McGinnis &lt;pmcginnis@grandhaven.org&gt;; </t>
  </si>
  <si>
    <t>McClary Darwin mcclaryd@lakeorion.org</t>
  </si>
  <si>
    <t xml:space="preserve"> Stan Rickard srickard@ci.hart.mi.us</t>
  </si>
  <si>
    <t>Chris Mathis cmathis@visitunioncity.com</t>
  </si>
  <si>
    <t>Wendy Jean-Buhrer citymanager@cityofgrandblanc.com</t>
  </si>
  <si>
    <t>Daniel Coss dcoss@dewittmi.org</t>
  </si>
  <si>
    <t>Ken Krombeen krombeenk@cityofgrandville.com</t>
  </si>
  <si>
    <t>Ray Anderson citymanager@norwaymi.gov</t>
  </si>
  <si>
    <t>City of Norway</t>
  </si>
  <si>
    <t>Amy S. Williams citymanager@cityofscottville.org</t>
  </si>
  <si>
    <t>City of Scottville</t>
  </si>
  <si>
    <t>Budd Jeff jbudd@coldwater.org</t>
  </si>
  <si>
    <t>City of Coldwater</t>
  </si>
  <si>
    <t>Email addresses</t>
  </si>
  <si>
    <t>Treasurer &lt;Treasurer@cityofgaylord.org&gt;</t>
  </si>
  <si>
    <t>City of Gaylord</t>
  </si>
  <si>
    <t>debt 1 $5.94, debt 2 $3.06</t>
  </si>
  <si>
    <t>Fran DeWyse &lt;ctreasurer@essexville.org&gt;</t>
  </si>
  <si>
    <t>City of Essexville</t>
  </si>
  <si>
    <t>sewer debt $20.00, service charge $3.33, garbage/recycling fee of $13.33 not included in total</t>
  </si>
  <si>
    <t>Mike Barber &lt;mbarber@hillsdalebpu.com&gt;</t>
  </si>
  <si>
    <t>Hillsdale BPW</t>
  </si>
  <si>
    <t>Larry Nielsen &lt;l.nielsen@pawpaw.net&gt;</t>
  </si>
  <si>
    <t>Village of Paw Paw</t>
  </si>
  <si>
    <t>$50.00 (RTS = $20 for a 3/4 inch meter with $5.00 per K commodity) - Sewer $68.00 (RTS=$20 plus $8 per K commodity)</t>
  </si>
  <si>
    <t>Thad Beard &lt;tbeard@cityofotsego.org&gt;</t>
  </si>
  <si>
    <t>City of Otsego</t>
  </si>
  <si>
    <t xml:space="preserve">$3.56 RTS water, $5.43 RTS sewer included </t>
  </si>
  <si>
    <t>City of Alpena</t>
  </si>
  <si>
    <t>"We bill quarterly so all costs were reduced by 1/3."</t>
  </si>
  <si>
    <t>George Bosanic GBosanic@greenvillemi.org</t>
  </si>
  <si>
    <t>City of Greenville</t>
  </si>
  <si>
    <t>Charlie Graham cgraham@frankenmuthcity.com</t>
  </si>
  <si>
    <t>City of Frankenmuth</t>
  </si>
  <si>
    <t>5/8 inch water meter</t>
  </si>
  <si>
    <t>Greg Sundin gregs@alpena.mi.us</t>
  </si>
  <si>
    <t>Anthony Moggio &lt;amoggio@rochestermi.org&gt;</t>
  </si>
  <si>
    <t>City of Rochester - Rochester well</t>
  </si>
  <si>
    <t>City of Rochester- Detroit W/S</t>
  </si>
  <si>
    <t>both use same sewer system</t>
  </si>
  <si>
    <t>Thad Taylor ttaylor@manisteemi.gov</t>
  </si>
  <si>
    <t>City of Manistee</t>
  </si>
  <si>
    <t xml:space="preserve">Water RTS $3.78, sewer RTS $7.32 included </t>
  </si>
  <si>
    <t xml:space="preserve"> Annge Horning ahorning@tawascity.org</t>
  </si>
  <si>
    <t>based on 5/8 or 3/4 water service</t>
  </si>
  <si>
    <t>Tom Tarkiewicz TTarkiewicz@cityofmarshall.com</t>
  </si>
  <si>
    <t>City of Marshall</t>
  </si>
  <si>
    <t>Joe Hefele jhefele@rogerscity.com</t>
  </si>
  <si>
    <t>City of Onaway</t>
  </si>
  <si>
    <t>City of Rogers City</t>
  </si>
  <si>
    <t>500 customers</t>
  </si>
  <si>
    <t>1500 customers</t>
  </si>
  <si>
    <t>Ron Howell reedcm@reedcityhall.org</t>
  </si>
  <si>
    <t>City of Reed City</t>
  </si>
  <si>
    <t>Water RTS $6.31 + flow $12, Sewer RTS 3.46 + flow $30</t>
  </si>
  <si>
    <t>Scott Huebler huebler@cityofwhitehall.org</t>
  </si>
  <si>
    <t>City of Whitehall</t>
  </si>
  <si>
    <t>John Hanifan jhanifan@city-chelsea.org</t>
  </si>
  <si>
    <t>3/4" Water service charge $6.76, sewer service charge $17.10</t>
  </si>
  <si>
    <t>1" water service charge $7.79, sewer service charge $20.83</t>
  </si>
  <si>
    <t>Grand Haven Charter Township</t>
  </si>
  <si>
    <t xml:space="preserve">Bill Cargo BCargo@ght.org] </t>
  </si>
  <si>
    <t>Water service charge 12.86, sewer service charge 13.13</t>
  </si>
  <si>
    <t xml:space="preserve"> johnmstanley@hotmail.com</t>
  </si>
  <si>
    <t>City of AuGres</t>
  </si>
  <si>
    <t>Water, minimum bill $34 (for 3000 gal) + 4.41 per add'l 1000, sewer minimum bill $31.59 (for ZERO gallons) +$4.41 per 1000 gal</t>
  </si>
  <si>
    <t>Trisha Dalgard &lt;tdalgard@saultcity.com&gt;</t>
  </si>
  <si>
    <t>City of Sault Ste Marie</t>
  </si>
  <si>
    <t>John Dantzer &lt;jdantzer@westbranch.com&gt;</t>
  </si>
  <si>
    <t>City of West Branch - offered help</t>
  </si>
  <si>
    <t>City of Tawas City - email comments</t>
  </si>
  <si>
    <t>Water Monthly Cost</t>
  </si>
  <si>
    <t>Sewer Monthly Cost</t>
  </si>
  <si>
    <t>Additional Cost</t>
  </si>
  <si>
    <t>inseparable</t>
  </si>
  <si>
    <t>Derek Gajdos &lt;Dgajdos@NortonShores.org&gt;</t>
  </si>
  <si>
    <t>City of Norton Shores</t>
  </si>
  <si>
    <t>Description of additional cost + other notes</t>
  </si>
  <si>
    <t>City of Grand Haven Water Only</t>
  </si>
  <si>
    <t>Tri Cities Local Gov'ts Water Only</t>
  </si>
  <si>
    <t>City of Grand Haven Sewer Only</t>
  </si>
  <si>
    <t>Tri Cities Local Gov'ts Sewer Only</t>
  </si>
  <si>
    <t>Combined Water &amp; Sewer Monthly Cost</t>
  </si>
  <si>
    <t>Sort column C</t>
  </si>
  <si>
    <t>Sort column D</t>
  </si>
  <si>
    <t>Sort Column F</t>
  </si>
  <si>
    <t>"Picture" ---&gt;</t>
  </si>
  <si>
    <t>&lt;--- "Active"</t>
  </si>
  <si>
    <t>copy the graph</t>
  </si>
  <si>
    <t>Kattula, Nagam &lt;nkattula@cityofsouthfield.com&gt;</t>
  </si>
  <si>
    <t>City of Southfield</t>
  </si>
  <si>
    <t>Billed every 2 months</t>
  </si>
  <si>
    <t>Zackary Szakacs zackary.szakacs@evart.org</t>
  </si>
  <si>
    <t>City of Evart</t>
  </si>
  <si>
    <t>Mark Bender &lt;manager@lakeodessa.org&gt;</t>
  </si>
  <si>
    <t>Village of Lake Odessa</t>
  </si>
  <si>
    <t>sewer flat rate is $72.60 per quarter.</t>
  </si>
  <si>
    <t>Ellen Marshall emarshall@villagebeverlyhills.com</t>
  </si>
  <si>
    <t>Village of Beverly Hills</t>
  </si>
  <si>
    <t>Debt service $6.67, infrastructure $21.67</t>
  </si>
  <si>
    <t xml:space="preserve"> Todd Blake tblake@cityoffremont.net</t>
  </si>
  <si>
    <t>City of Fremont</t>
  </si>
  <si>
    <t>Water (Qrtly - $ 30.15) &amp; (Monthly - $ 10.05)</t>
  </si>
  <si>
    <t>Meters under 2” – Domestic Standard Domestic, Commercial or Industrial</t>
  </si>
  <si>
    <t>Use: Readiness-to-Serve [RTS] (min. ¼-ly bill based on metered use up to</t>
  </si>
  <si>
    <t>4,000 gals./qtr.) .. 11.81 Rate / 1,000 gals. used per quarter for 5,000 or</t>
  </si>
  <si>
    <t>more /qtr. ............................................. 1.31</t>
  </si>
  <si>
    <t>Sewer (Qrtly - $ 42.34) &amp; (Monthly - $ 14.11)</t>
  </si>
  <si>
    <t>Water meters under 2” – Domestic Standard Domestic, Commercial or</t>
  </si>
  <si>
    <t>Industrial Use: Readiness-to-Serve (min. ¼-ly bill based on metered water</t>
  </si>
  <si>
    <t>use up to 4,000 gals. / quarter) .. 15.60 Rate / 1,000 gals. water used per</t>
  </si>
  <si>
    <t>quarter of 5,000 gals. or more / quarter ..............................</t>
  </si>
  <si>
    <t xml:space="preserve">citymanager@cityofironmountain.com </t>
  </si>
  <si>
    <t>City of Iron Mountain</t>
  </si>
  <si>
    <t>City of Grosse Pointe</t>
  </si>
  <si>
    <t xml:space="preserve">Rhonda Ricketts &lt;RRicketts@gpshoresmi.gov&gt; </t>
  </si>
  <si>
    <t xml:space="preserve">Brad Barrett &lt;bbarrett@flushingcity.com&gt; </t>
  </si>
  <si>
    <t>Jeff Dunlap &lt;jdunlap@nilesmi.org&gt;</t>
  </si>
  <si>
    <t>City of Niles</t>
  </si>
  <si>
    <t xml:space="preserve">Water consumption rate ($2.40 per 8.0214 cu ft), 5/8 Meter charge - $12.00, Sewer consumption rate ($2.71 per 8.0214 cu. ft.) 5/8 meter charge - $10.50 </t>
  </si>
  <si>
    <t>City of Charlotte</t>
  </si>
  <si>
    <t>Water consumption $16.50, base rate 13.67. Sewer consumption $27.00, base rate $20.66</t>
  </si>
  <si>
    <t>Gail M. Budrow-Bradstreet &lt;GMBradstreet@battlecreekmi.gov&gt;</t>
  </si>
  <si>
    <t>City of Battle Creek</t>
  </si>
  <si>
    <t>3/4" meter used. Water RTS $12.15. Sewer RTS $17.08. If 5/8" meter deduct $6.59 from the total</t>
  </si>
  <si>
    <t>vlgbellaire@bellairemichigan.com</t>
  </si>
  <si>
    <t>Village of Bellaire</t>
  </si>
  <si>
    <t>Sewer RTS $20.75, Water RTS 10.38, Sewer Sludge $9.00. 1% environmental .30, water replacement fee 1.04</t>
  </si>
  <si>
    <t>Steven Kingsbury &lt;SKingsbury@cityofclare.org&gt;</t>
  </si>
  <si>
    <t>City of Clare</t>
  </si>
  <si>
    <t>Julia Rust &lt;treasurer@chinatwp.net&gt;</t>
  </si>
  <si>
    <t>China Township</t>
  </si>
  <si>
    <t>Water fund in deficit position</t>
  </si>
  <si>
    <t>Valarie Hecksel &lt;vhecksel@cityofcoopersville.com&gt;</t>
  </si>
  <si>
    <t>City of Coopersville</t>
  </si>
  <si>
    <t>Rod Taylor rtaylor@dewitttwp.org</t>
  </si>
  <si>
    <t>DeWitt Charter Township</t>
  </si>
  <si>
    <t xml:space="preserve">Lansing Board of Water and Light provides water </t>
  </si>
  <si>
    <t>Joseph Sawyer citymanager@corunna-mi.gov</t>
  </si>
  <si>
    <t>City of Corunna</t>
  </si>
  <si>
    <t>Rich Haberman richh@micityoffraser.com</t>
  </si>
  <si>
    <t>City of Fraser</t>
  </si>
  <si>
    <t>Water $1.50 meter, Sewer $75.84 RTS</t>
  </si>
  <si>
    <t xml:space="preserve"> Scott Erbisch SErbisch@mqtco.org</t>
  </si>
  <si>
    <t>K. I Sawyer (Marquette County)</t>
  </si>
  <si>
    <t>Bryon Mazade mazadeb@gmail.com</t>
  </si>
  <si>
    <t>City of Roosevelt Park</t>
  </si>
  <si>
    <t>Chelsea Stratil villageofshelby@gmail.com</t>
  </si>
  <si>
    <t>Village of Shelby</t>
  </si>
  <si>
    <t>Michael Cain mcain@boynecity.com</t>
  </si>
  <si>
    <t>City of Boyne City</t>
  </si>
  <si>
    <t>Nassar, Susan &lt;clerk@villageofoxford.org&gt;</t>
  </si>
  <si>
    <t>Village of Oxford</t>
  </si>
  <si>
    <t>Water RTS $18.10, Sewer RTS $31.17</t>
  </si>
  <si>
    <t>Jared Olson jolsonmanager@gmail.com</t>
  </si>
  <si>
    <t>City of Caro</t>
  </si>
  <si>
    <t>Caro bills bi-monthly, this is the monthly equivalent</t>
  </si>
  <si>
    <t>John Shay JShay@ci.ludington.mi.us</t>
  </si>
  <si>
    <t>City of Ludington</t>
  </si>
  <si>
    <t>Rachel Piner &lt;treasurer@williamston-mi.us&gt;</t>
  </si>
  <si>
    <t>City of Williamston</t>
  </si>
  <si>
    <t>Catherine Stanislawski &lt;CStanislawski@cityofhowell.org&gt;</t>
  </si>
  <si>
    <t>City of Howell</t>
  </si>
  <si>
    <t>Consumption - Water $4.42 per 1000, Sewer $4.07 per 1000. RTS 3/4" Water $17, Sewer $25.</t>
  </si>
  <si>
    <t>1.25 meter replacement charge. Water RTS $10.61 plus consumption $2.49 per 1000 gal. Sewer RTS $21.34 plus commodity $4,54 per 1000 gal.</t>
  </si>
  <si>
    <t>Deb &lt;deblefever@carsoncitymi.com&gt;</t>
  </si>
  <si>
    <t>City of Carson City</t>
  </si>
  <si>
    <t>Kim Kidder KKidder@cofrankfort.net</t>
  </si>
  <si>
    <t>City of Frankfort</t>
  </si>
  <si>
    <t>Water base rate $10.24, Sewer base rate 22.50</t>
  </si>
  <si>
    <t>City of East Grand Rapds</t>
  </si>
  <si>
    <t>Lily Cavanagh lcavanagh@redfordtwp.com</t>
  </si>
  <si>
    <t>Redford Township</t>
  </si>
  <si>
    <t>Water $3.45 per 1000. Sewer ($4.30 + 0.42 +0.53) per 1000</t>
  </si>
  <si>
    <t>CityManager@cityofmunising.org; Julie Johnson citytres@jamadots.com</t>
  </si>
  <si>
    <t xml:space="preserve">Sarah Moyer-Cale smoyer-cale@almontvillage.org;  Kim Keesler kkeesler@almontvillage.org </t>
  </si>
  <si>
    <t>Flat 3/4" Meter Fee $12.08 $13.17 $0.00</t>
  </si>
  <si>
    <t>City of St. Joseph</t>
  </si>
  <si>
    <t xml:space="preserve">Joan Ross &lt;jross@sjcity.com&gt; </t>
  </si>
  <si>
    <t>Water RTS 5.42 + $9.30 system development rate. Sewer RTS $4.73</t>
  </si>
  <si>
    <t>Deb Nickerson kvtreasurer@villageofkingsley.com</t>
  </si>
  <si>
    <t>Village of Kingsley</t>
  </si>
  <si>
    <t>Sewer is a flat rate $33.00. Water RTS $14.00 plus $1.50 per 1000 gal.</t>
  </si>
  <si>
    <t>Ruthann Fenske &lt;fensker@cityofgrandville.com&gt;</t>
  </si>
  <si>
    <t>Water $3.72 other costs, Sewer $3.20 other costs</t>
  </si>
  <si>
    <t xml:space="preserve"> James Stover jstover@nilestwpmi.gov</t>
  </si>
  <si>
    <t>Charter Township of Niles</t>
  </si>
  <si>
    <t>Bobbie Marr bmarr@stlouismi.com</t>
  </si>
  <si>
    <t>City of St. Louis</t>
  </si>
  <si>
    <t>Water RTS 14.15, meter 3.18. Sewer RTS $6.81</t>
  </si>
  <si>
    <t xml:space="preserve"> Janice Thelen JThelen@watertowntownship.com</t>
  </si>
  <si>
    <t>Watertown Township</t>
  </si>
  <si>
    <t>Sewer is flat rate $31.67 per mo. Water is billed by Lansing Board of Water &amp; Light</t>
  </si>
  <si>
    <t>Ethan Moody emoody@springfieldmich.com</t>
  </si>
  <si>
    <t>City of Springfield</t>
  </si>
  <si>
    <t>Water meter fee $11.00, Sewer RTS fee $8.27</t>
  </si>
  <si>
    <t>Becky Straubel - Village of Saranac saranacoffice@gmail.com</t>
  </si>
  <si>
    <t>Village of Saranac</t>
  </si>
  <si>
    <t>Water service demand charge $15.91, Sewer service demand charge $17.61</t>
  </si>
  <si>
    <t>Consumption $2.57 per 1000 water, $1.50 per 1000 sewer.</t>
  </si>
  <si>
    <t>Penny Ray pennyr@villageofmilford.org</t>
  </si>
  <si>
    <t>Village of Milford</t>
  </si>
  <si>
    <t>Water base $6.20, Sewer base $5.75</t>
  </si>
  <si>
    <t>Debra Brunett financedirector@cityofcedarsprings.org</t>
  </si>
  <si>
    <t>City of Cedar Springs</t>
  </si>
  <si>
    <t>Other cost water $6.44, Sewer $19.35</t>
  </si>
  <si>
    <t>Julie Potts jpotts@easttawas.com</t>
  </si>
  <si>
    <t>City of East Tawas</t>
  </si>
  <si>
    <t>RTS water $12.30, Sewer $12.00</t>
  </si>
  <si>
    <t>Karen Sall KSall@trenton-mi.com</t>
  </si>
  <si>
    <t>Capital cost $6.90</t>
  </si>
  <si>
    <t xml:space="preserve"> Vicki Fishell vfishell@cityofmtmorris.org</t>
  </si>
  <si>
    <t>City of Trenton</t>
  </si>
  <si>
    <t>City of Mt. Morris</t>
  </si>
  <si>
    <t>RTS water $9.15, sewer $9.91</t>
  </si>
  <si>
    <t>Village Of Barryton barrytongov@gmail.com</t>
  </si>
  <si>
    <t>Village of Barryton</t>
  </si>
  <si>
    <t>Flat rates $39,50 each for water &amp; sewer per REU, businesses are usually 2 REU</t>
  </si>
  <si>
    <t>Julie Pray jpray@cityofdavison.org</t>
  </si>
  <si>
    <t>City of Davison</t>
  </si>
  <si>
    <t>Ward Lynn wardl@porthuron.org</t>
  </si>
  <si>
    <t>City of Port Huron</t>
  </si>
  <si>
    <t>Water RTS $10.98, Sewer RTS $32.01</t>
  </si>
  <si>
    <t>City of Birmingham</t>
  </si>
  <si>
    <t>Mark Gerber &lt;mgerber@bhamgov.org&gt;</t>
  </si>
  <si>
    <t>meter cost $2.67</t>
  </si>
  <si>
    <t>Jeff Auch &lt;zoning@cityofmontague.org&gt;</t>
  </si>
  <si>
    <t>City of Montague - 3/4"</t>
  </si>
  <si>
    <t>City of Montague - 1"</t>
  </si>
  <si>
    <t>City of Chelsea - 3/4"</t>
  </si>
  <si>
    <t>City of Chelsea - 1"</t>
  </si>
  <si>
    <t>see notes below the red line (extensive)</t>
  </si>
  <si>
    <t>Village of Spring Lake</t>
  </si>
  <si>
    <t>Tom Cannon tcannon@eastjordancity.org</t>
  </si>
  <si>
    <t>City of East Jordan</t>
  </si>
  <si>
    <t>billing done quarterly, monthly shown here</t>
  </si>
  <si>
    <t>christine@springlakevillage.org</t>
  </si>
  <si>
    <t>Laura Wille &lt;lwille@cityofmountclemens.com&gt;</t>
  </si>
  <si>
    <t>City of Mt Clemens</t>
  </si>
  <si>
    <t>Service charges - water $26.13, sewer $20.01 - 8 "units" = 6000 gallons</t>
  </si>
  <si>
    <t>John Osborn &lt;jgosborn@yalemi.us&gt;</t>
  </si>
  <si>
    <t>City of Yale</t>
  </si>
  <si>
    <t>Water debt $17.00 - Capital improvement water $1.77, sewer $4.00 (variable),       minimum bill water $10.01, sewer $6.84</t>
  </si>
  <si>
    <t>Dianne Berenbrock treasurer@chester-twp.org</t>
  </si>
  <si>
    <t>Chester Township</t>
  </si>
  <si>
    <t>$153 flat rate billed every three months, per REU, 83 customers</t>
  </si>
  <si>
    <t>Barb Fandell &lt;bfandell@ithacami.com&gt;</t>
  </si>
  <si>
    <t>City of Ithaca</t>
  </si>
  <si>
    <t>Not included - quarterly billing information.</t>
  </si>
  <si>
    <t>Courtney Nicholls &lt;cnicholls@dextermi.gov&gt;</t>
  </si>
  <si>
    <t>City of Dexter</t>
  </si>
  <si>
    <t>Sheryl Mitchell smitchell@cityofalbionmi.gov</t>
  </si>
  <si>
    <t>City of Albion</t>
  </si>
  <si>
    <t>Water base $8, Sewer base $8.</t>
  </si>
  <si>
    <t>Matthew Coppler MCoppler@citylp.com</t>
  </si>
  <si>
    <t>City of Lincoln Park</t>
  </si>
  <si>
    <t xml:space="preserve"> James Breuckman citymanager@cityofpleasantridge.org</t>
  </si>
  <si>
    <t>City of Pleasant Ridge</t>
  </si>
  <si>
    <t>RTS $14.20</t>
  </si>
  <si>
    <t xml:space="preserve"> Lynne Ladner lladner@southlyonmi.org</t>
  </si>
  <si>
    <t>City of South Lyon</t>
  </si>
  <si>
    <t>Ready to serve $31.67 to 6000 gal.$2.50 surcharge RTS over 7000 gal.</t>
  </si>
  <si>
    <t>Karen Mushong kmushong@eastgr.org; Doug LaFave dlafave@eastgr.org</t>
  </si>
  <si>
    <t xml:space="preserve"> Jon Moore jmoore@cityofrichmond.net</t>
  </si>
  <si>
    <t>City of Richmond</t>
  </si>
  <si>
    <t>Water RTS $3.33, Sewer RTS 3.33</t>
  </si>
  <si>
    <t>Jeff Gray JGray@jonesville.org</t>
  </si>
  <si>
    <t>City of Jonesville</t>
  </si>
  <si>
    <t>Based on 5/8 or 3/4 water service</t>
  </si>
  <si>
    <t>Sam Janson" &lt;sjanson@cityofnorthmuskegon.com&gt;</t>
  </si>
  <si>
    <t>City of North Muskegon 1/1/2016</t>
  </si>
  <si>
    <t>City of North Muskegon 4/1/2016</t>
  </si>
  <si>
    <t>Rates 1/1/2016</t>
  </si>
  <si>
    <t>Rates 4/1/2016</t>
  </si>
  <si>
    <t>Craig Bessinger &lt;cbessinger@ferrysburg.org&gt; &amp; Debbie Wierenga</t>
  </si>
  <si>
    <t>Julius Suchy jsuchy@spartami.org</t>
  </si>
  <si>
    <t>Village of Sparta</t>
  </si>
  <si>
    <t>Water RTS $18.04, Sewer RTS $7.78 plus debt of $10.76.</t>
  </si>
  <si>
    <t xml:space="preserve">Michael Sessions Michael.sessions@cityofmorenci.org </t>
  </si>
  <si>
    <t>City of Morenci</t>
  </si>
  <si>
    <t>RTS $22.87 billed quarterly</t>
  </si>
  <si>
    <t>&lt;-----end of sort area</t>
  </si>
  <si>
    <t>Villae of Blissfield</t>
  </si>
  <si>
    <t>James Wonacott administrator@blissfieldmichigan.gov</t>
  </si>
  <si>
    <t>Combined rates indeterminate split - $36.12 RTS, $39.90 consumption</t>
  </si>
  <si>
    <t>Christine Mossner &lt;cmossner@charlottemi.org&gt;; Gregg Guetschow gguetschow@charlottemi.org</t>
  </si>
  <si>
    <t>City Manager citymanager@ishpemingcity.org</t>
  </si>
  <si>
    <t>City of Ishpeming</t>
  </si>
  <si>
    <t>Water Fixed $5.25, Sewer Fixed $5.00, Sewer Debt $3.33</t>
  </si>
  <si>
    <t>Mark Pollock mpollock@cityofclawson.com</t>
  </si>
  <si>
    <t>City of Clawson</t>
  </si>
  <si>
    <t>manager@villageofbrooklyn.com</t>
  </si>
  <si>
    <t>Village of Brooklyn</t>
  </si>
  <si>
    <t>Water RTS $18.75, sewer flat rate of $40:00 includes RTS and usage.O&amp;M only. Debt millage of 3.5500 mills collected annually - not included in rate calculation.</t>
  </si>
  <si>
    <t>Karen Doyle kdoyle@cityofzeeland.com</t>
  </si>
  <si>
    <t>City of Zeeland</t>
  </si>
  <si>
    <t>Water RTS $6.40, Sewer RTS $10.02</t>
  </si>
  <si>
    <t>Joe Erickson ontmgr@jamadots.com</t>
  </si>
  <si>
    <t>Village of Ontonagon</t>
  </si>
  <si>
    <t>Water debt $22.00, Sewer debt $21.00</t>
  </si>
  <si>
    <t>City of Grand Ledge</t>
  </si>
  <si>
    <t>Adam Smith asmith@grand-ledge.com</t>
  </si>
  <si>
    <t>Water debt $7.33, Sewer fixed rate $2.08. Water usage (0-10K-$3.70, 10K+$5.14) Sewer  usage $8.45. Substantial rate increase in July 2016</t>
  </si>
  <si>
    <t>Jeff Thornton jeffthornton@hotmail.com</t>
  </si>
  <si>
    <t>City of Negaunee</t>
  </si>
  <si>
    <t>Sort on column F</t>
  </si>
  <si>
    <t>then</t>
  </si>
  <si>
    <t>Sort on column C</t>
  </si>
  <si>
    <t>to Column K ---&gt;</t>
  </si>
  <si>
    <t>to Column K---&gt;</t>
  </si>
  <si>
    <t>Sort on column D</t>
  </si>
  <si>
    <r>
      <t xml:space="preserve">as a </t>
    </r>
    <r>
      <rPr>
        <b/>
        <u/>
        <sz val="12"/>
        <color theme="1"/>
        <rFont val="Arial"/>
        <family val="2"/>
      </rPr>
      <t>picture</t>
    </r>
  </si>
  <si>
    <t>This ---&gt;</t>
  </si>
  <si>
    <t>sample</t>
  </si>
  <si>
    <t>Notes on using this spreadsheet:</t>
  </si>
  <si>
    <t xml:space="preserve">          Combined water &amp; sewer cost, sort on column F.</t>
  </si>
  <si>
    <t xml:space="preserve">          Sewer cost, sort on column D.</t>
  </si>
  <si>
    <t xml:space="preserve">          Water cost, sort on column C.</t>
  </si>
  <si>
    <t xml:space="preserve">         Note how the "combined cost" graph is a smooth progression</t>
  </si>
  <si>
    <t>4.  The graphics include only the "sort area" communities.</t>
  </si>
  <si>
    <t xml:space="preserve">5. If sorting for </t>
  </si>
  <si>
    <t xml:space="preserve">          and change whenever the base sort data change.</t>
  </si>
  <si>
    <t>6. On the graphics tab, note that the graphics on the left side are "live"</t>
  </si>
  <si>
    <t xml:space="preserve">       Enter your single local unit data in the red columns, the others you</t>
  </si>
  <si>
    <t xml:space="preserve">         You need to highlight this whole area when you sort, otherwise</t>
  </si>
  <si>
    <t xml:space="preserve">           spreadheet before I sort, so I can revise the sort if needed.)</t>
  </si>
  <si>
    <t xml:space="preserve">       Note the columns - I thru N -  to the right side of the study base sheet.</t>
  </si>
  <si>
    <t xml:space="preserve">       want to compare to in the green columns.</t>
  </si>
  <si>
    <t xml:space="preserve">        Pat McGinnis, City Manager        Jim Bonamy, Finance Director</t>
  </si>
  <si>
    <t xml:space="preserve">     Unit responses that we did not understand or were duplicative </t>
  </si>
  <si>
    <t>City Of Grand Haven (Combined)</t>
  </si>
  <si>
    <t>Tri Cities Local Gov'ts (Combined)</t>
  </si>
  <si>
    <t>full quarter amounts, minimum 4,000 units. Division by 3 would be inaccurate, lagoon sewer system, no water treatment plant</t>
  </si>
  <si>
    <t>quarterly billing with additional charges. Division by three would be inaccurate.</t>
  </si>
  <si>
    <t>Chris Weber &lt;cweber@farmgov.com&gt;</t>
  </si>
  <si>
    <t>City of Farmington</t>
  </si>
  <si>
    <t>Water fixed charge $9.43, sewer fixed charge $11.26.</t>
  </si>
  <si>
    <t>Rachel A. Frost &lt;r.frost@burtonmi.gov&gt;</t>
  </si>
  <si>
    <t>City of Burton</t>
  </si>
  <si>
    <t>Water RTS $16.85, sewer RTS $15.96, single family residence w/ 5/8" meter</t>
  </si>
  <si>
    <t xml:space="preserve">RTS and debt service charges, 3/4" service </t>
  </si>
  <si>
    <t>RTS and debt service charges, 1" service</t>
  </si>
  <si>
    <t>Brandon Mersman b.mersman@bronson-mi.com</t>
  </si>
  <si>
    <t>City of Bronson</t>
  </si>
  <si>
    <t>Water $14.00 base charge plus $7.80 usage. Sewer $27,85 Base charge plus $8.58 usage.</t>
  </si>
  <si>
    <t>Marcia Price vllgclerk@elkrapids.org</t>
  </si>
  <si>
    <t>Village of Elk Rapids</t>
  </si>
  <si>
    <t>Water flat rate $17.50, sewer flat rate $31.45</t>
  </si>
  <si>
    <t xml:space="preserve">Patricia Rayl [mailto:prayl@auburnmi.org] </t>
  </si>
  <si>
    <t>City of Auburn</t>
  </si>
  <si>
    <t>Meter charge of $3.75.</t>
  </si>
  <si>
    <t>City of Montrose</t>
  </si>
  <si>
    <t>Treasurer treasurer@cityofmontrose.us</t>
  </si>
  <si>
    <t>Water RTS $34.25, Sewer $23.75</t>
  </si>
  <si>
    <t>Water RTS $26.84, Sewer RTS 26.65 (RTS + other flat monthly costs)</t>
  </si>
  <si>
    <t>Billed in cubic feet quarterly - recalculated to monthly</t>
  </si>
  <si>
    <t>Jeanne Langlois jlanglois@oaklandtownship.org; : Jamie Moore [mailto:jmoore@oaklandtownship.org</t>
  </si>
  <si>
    <t>Oakland Charter Township</t>
  </si>
  <si>
    <t>City Of Grand Haven (Projected)</t>
  </si>
  <si>
    <t>City of Grand Haven Water Only (Projected)</t>
  </si>
  <si>
    <t>City of Grand Haven Sewer Only (Projected)</t>
  </si>
  <si>
    <t>Local Unit cost 5 year advance</t>
  </si>
  <si>
    <t>City of Grand Haven 7/1/2020 3+5+RTS 3 yrs</t>
  </si>
  <si>
    <t>City of Grand Haven 7/1/2020 5+7+RTS 5 yrs</t>
  </si>
  <si>
    <t>5%Sewer, 7% water, RTS up 50 cents or same % per year.</t>
  </si>
  <si>
    <t>Dave Faber DFaber@misandusky.com</t>
  </si>
  <si>
    <t>City of Sandusky</t>
  </si>
  <si>
    <t>RTS Water $6.07, sewer $6.81</t>
  </si>
  <si>
    <t>Peter Dame PJDame@grossepointecity.org; Lois Zaremski &lt;LZaremski@grossepointecity.org&gt;</t>
  </si>
  <si>
    <t>RTS water 1,55, sewer $1.61; Debt Water 3.42 sewer $3.56</t>
  </si>
  <si>
    <t>Stacey Rogers &lt;srogers@rockford.mi.us&gt;</t>
  </si>
  <si>
    <t>City of Rockford</t>
  </si>
  <si>
    <t>Water RTS 10.25; Sewer RTS $12.91, Wastewater Plant $17.50 per month</t>
  </si>
  <si>
    <t>Sewer is a fixed fee, no consumption, water has a $5.50 meter charge</t>
  </si>
  <si>
    <t>tcampbell@cityofsaline.org</t>
  </si>
  <si>
    <t>City of Saline</t>
  </si>
  <si>
    <t>3/4" meter - Water RTS 4.33/mo, Bill charge $5.63. Sewer RTS $7.14/mo, Bill charge $5.68/mo</t>
  </si>
  <si>
    <t>Local Unit Plus 5 Years Projected</t>
  </si>
  <si>
    <t>was an earlier</t>
  </si>
  <si>
    <t xml:space="preserve">Local Unit Plus 5 Years Water Projected </t>
  </si>
  <si>
    <t>Local Unit Plus 5 Years Sewer Projected</t>
  </si>
  <si>
    <t>Analyzed local unit five years out by their ordinance.</t>
  </si>
  <si>
    <t>City of Grand Haven 7/1/2016 3+5</t>
  </si>
  <si>
    <t>City of Grand Haven 7/1/2017 3+5</t>
  </si>
  <si>
    <t>City of Grand Haven 7/1/2018 3+5</t>
  </si>
  <si>
    <t>City of Grand Haven 7/1/2019 3+5</t>
  </si>
  <si>
    <t xml:space="preserve">     Feel free to include or exclude communities that are not comparable to you..</t>
  </si>
  <si>
    <t>&lt;--- beginning of sort area at cell A7</t>
  </si>
  <si>
    <t xml:space="preserve">2. All communities that sent their monthly cost are included. </t>
  </si>
  <si>
    <t xml:space="preserve">         or were not monthly costs were excluded from the sort area, but noted below it.</t>
  </si>
  <si>
    <t>3. The "sort area" is defined with a border.  (Like this cell.)</t>
  </si>
  <si>
    <t xml:space="preserve">         In this way, the picture copy will not change and is readily exportable.</t>
  </si>
  <si>
    <t>7.   On the study base, you'll see one unit (Grand Haven City) highlighted in dusty red,</t>
  </si>
  <si>
    <t xml:space="preserve">       others highlighted in green (Tri Cities units). On the graphics the same occurs.</t>
  </si>
  <si>
    <t xml:space="preserve">       In this way, you can make the charts specific to your situation.</t>
  </si>
  <si>
    <t>Water &amp; Sewer Customer Cost Comparison</t>
  </si>
  <si>
    <t>1. There are four tabs, study base, graphics, this one (user notes) and disclaimers.</t>
  </si>
  <si>
    <t>DISCLAIMERS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</si>
  <si>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We manually transferred data from emails to the spreadsheet. If the emails were incorrect to our requested parameters, those errors may be duplicated. 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</si>
  <si>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We reduced errors by having the spreadsheet (where possible) create the same calculations for the totals sent in the emails. If confirmed by calculation, they were included.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</si>
  <si>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If the email did not have calculable numbers, we included what was sent. (Total water, total sewer, total “other” and total combined billing.)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</si>
  <si>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Where it was obvious that the email did not have enough or correct data to our purposes, we emailed the sender to request clarification.</t>
    </r>
  </si>
  <si>
    <r>
      <t>6.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In some cases, a municipality may have included varying flat rates and showed varying results (for instance, RTS for ¾ “ or 5/8” services being different). We have included these.</t>
    </r>
  </si>
  <si>
    <r>
      <t>7.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We tried to represent in the notes some of the parameters in simplified form. If our interpretation was incorrect, we regret the error.</t>
    </r>
  </si>
  <si>
    <r>
      <t>12.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We’d love to copyright the spreadsheet and present you with a bill for services, but then we’re sure someone would want it to be accurate to a level we are unwilling to adhere to.</t>
    </r>
  </si>
  <si>
    <r>
      <t>8.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The structure (formulas, entries, calculations, graphic views) of the spreadsheet has been reviewed for accuracy, but errors may have happened.  We assume no responsibility... </t>
    </r>
  </si>
  <si>
    <r>
      <t>9.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The City of Grand Haven is not responsible for the outcomes represented in this spreadsheet or any derivative document.</t>
    </r>
  </si>
  <si>
    <t xml:space="preserve">             We did the best we could, but human error is a part of life.</t>
  </si>
  <si>
    <r>
      <t>10.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 xml:space="preserve">By your use of the spreadsheet and the information enclosed, you agree to hold the City of Grand Haven harmless in any and all  actions brought against you </t>
    </r>
  </si>
  <si>
    <t xml:space="preserve">              related to this data or its dissemination. (This one is to annoy all the attorneys out there...)</t>
  </si>
  <si>
    <t>Patrick McGinnis, City Manager</t>
  </si>
  <si>
    <t>We got to thinking that this may be used inappropriately. The City of Grand Haven      holds no responsibility for any use, non use, misuse, etc... Nothing herein is     confidential or non-public information. See further disclaimers on the disclaimers tab.</t>
  </si>
  <si>
    <r>
      <t>11.</t>
    </r>
    <r>
      <rPr>
        <sz val="7"/>
        <rFont val="Times New Roman"/>
        <family val="1"/>
      </rPr>
      <t xml:space="preserve">   </t>
    </r>
    <r>
      <rPr>
        <b/>
        <sz val="11"/>
        <rFont val="Calibri"/>
        <family val="2"/>
      </rPr>
      <t>We’re sending the responses in an excel file</t>
    </r>
    <r>
      <rPr>
        <sz val="11"/>
        <rFont val="Calibri"/>
        <family val="2"/>
      </rPr>
      <t>, so you can “play” with the data . City of Grand Haven assumes no responsibility for your work or the contents.</t>
    </r>
  </si>
  <si>
    <t xml:space="preserve">            you'll create an irreparable mixup of data. (I always save a copy of the</t>
  </si>
  <si>
    <t xml:space="preserve">         and that graphs for water and sewer cost are not.</t>
  </si>
  <si>
    <t xml:space="preserve">         So, when you are comparing the three graphs, you'll see that I have</t>
  </si>
  <si>
    <r>
      <t xml:space="preserve">         copied the "live" graph and pasted it as a </t>
    </r>
    <r>
      <rPr>
        <b/>
        <u/>
        <sz val="12"/>
        <color theme="1"/>
        <rFont val="Arial"/>
        <family val="2"/>
      </rPr>
      <t>picture</t>
    </r>
    <r>
      <rPr>
        <sz val="12"/>
        <color theme="1"/>
        <rFont val="Arial"/>
        <family val="2"/>
      </rPr>
      <t xml:space="preserve"> on the right.</t>
    </r>
  </si>
  <si>
    <t xml:space="preserve">        City of Grand Haven                       City of Grand Haven</t>
  </si>
  <si>
    <t xml:space="preserve">                   If they responded to our emailed questions, we included their information. We sent the spreadsheet to all who sent us information. </t>
  </si>
  <si>
    <r>
      <t>5.</t>
    </r>
    <r>
      <rPr>
        <b/>
        <sz val="7"/>
        <rFont val="Times New Roman"/>
        <family val="1"/>
      </rPr>
      <t>     </t>
    </r>
    <r>
      <rPr>
        <b/>
        <sz val="11"/>
        <rFont val="Calibri"/>
        <family val="2"/>
      </rPr>
      <t>We assume this is a fully public document and all that statement implies.</t>
    </r>
  </si>
  <si>
    <t xml:space="preserve">      We believe there is no malware in our transmission or the spreadsheet and assume no liability if such occurs.</t>
  </si>
  <si>
    <t>for Michigan communities - February 22, 2016</t>
  </si>
  <si>
    <t>Jim Bonamy, Finance Director</t>
  </si>
  <si>
    <t xml:space="preserve">    Due to the detailed notes (to the right), I placed them here for user convenience. Fremont was included in the sort area.</t>
  </si>
  <si>
    <t xml:space="preserve"> 13. On reconsideration, we could have included many other questions, population, # of customers, water or sewer plant in operation, etc. If we ever do this again,</t>
  </si>
  <si>
    <t xml:space="preserve">             we might just include these. Then again, we did not want to have the request so onerous that other communities would not participate.</t>
  </si>
  <si>
    <r>
      <t>14.</t>
    </r>
    <r>
      <rPr>
        <b/>
        <sz val="7"/>
        <rFont val="Times New Roman"/>
        <family val="1"/>
      </rPr>
      <t xml:space="preserve">   </t>
    </r>
    <r>
      <rPr>
        <b/>
        <sz val="11"/>
        <rFont val="Calibri"/>
        <family val="2"/>
      </rPr>
      <t>If you’ve read this list of disclaimers, you may be looking at this effort with way  too much seriousness … but have a great day anyway!</t>
    </r>
  </si>
  <si>
    <t>This was presented in the ICMA and GFOA spirit of collaboration with all the participants and anyone presented with the information.</t>
  </si>
  <si>
    <t>Thank you for your response to our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</si>
</sst>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u/>
      <sz val="12"/>
      <color theme="10"/>
      <name val="Arial"/>
      <family val="2"/>
    </font>
    <font>
      <sz val="12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22"/>
      <name val="Algerian"/>
      <family val="5"/>
    </font>
    <font>
      <sz val="11"/>
      <name val="Calibri"/>
      <family val="2"/>
    </font>
    <font>
      <sz val="7"/>
      <name val="Times New Roman"/>
      <family val="1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0">
    <xf numFmtId="0" fontId="0" fillId="0" borderId="0" xfId="0"/>
    <xf numFmtId="43" fontId="0" fillId="0" borderId="0" xfId="1" applyFont="1"/>
    <xf numFmtId="0" fontId="3" fillId="0" borderId="0" xfId="2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/>
    <xf numFmtId="0" fontId="0" fillId="0" borderId="0" xfId="0" applyFill="1" applyBorder="1"/>
    <xf numFmtId="43" fontId="0" fillId="0" borderId="0" xfId="1" applyFont="1" applyFill="1" applyBorder="1"/>
    <xf numFmtId="0" fontId="0" fillId="0" borderId="0" xfId="0" applyBorder="1"/>
    <xf numFmtId="0" fontId="0" fillId="7" borderId="0" xfId="0" applyFill="1"/>
    <xf numFmtId="43" fontId="0" fillId="7" borderId="0" xfId="1" applyFont="1" applyFill="1"/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6" borderId="0" xfId="0" applyFill="1" applyBorder="1"/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0" fillId="8" borderId="0" xfId="0" applyFill="1"/>
    <xf numFmtId="0" fontId="0" fillId="0" borderId="0" xfId="0" applyFill="1" applyAlignment="1">
      <alignment vertical="center"/>
    </xf>
    <xf numFmtId="0" fontId="0" fillId="5" borderId="0" xfId="0" applyFill="1" applyBorder="1"/>
    <xf numFmtId="0" fontId="0" fillId="9" borderId="0" xfId="0" applyFill="1"/>
    <xf numFmtId="0" fontId="3" fillId="10" borderId="1" xfId="2" applyFill="1" applyBorder="1"/>
    <xf numFmtId="0" fontId="0" fillId="10" borderId="2" xfId="0" applyFill="1" applyBorder="1"/>
    <xf numFmtId="43" fontId="0" fillId="10" borderId="2" xfId="1" applyFont="1" applyFill="1" applyBorder="1"/>
    <xf numFmtId="0" fontId="2" fillId="10" borderId="2" xfId="0" applyFont="1" applyFill="1" applyBorder="1" applyAlignment="1">
      <alignment horizontal="left" vertical="center" wrapText="1"/>
    </xf>
    <xf numFmtId="0" fontId="0" fillId="10" borderId="3" xfId="0" applyFill="1" applyBorder="1"/>
    <xf numFmtId="0" fontId="0" fillId="10" borderId="4" xfId="0" applyFill="1" applyBorder="1"/>
    <xf numFmtId="0" fontId="0" fillId="10" borderId="0" xfId="0" applyFill="1" applyBorder="1"/>
    <xf numFmtId="43" fontId="0" fillId="10" borderId="0" xfId="1" applyFont="1" applyFill="1" applyBorder="1"/>
    <xf numFmtId="0" fontId="2" fillId="10" borderId="0" xfId="0" applyFont="1" applyFill="1" applyBorder="1" applyAlignment="1">
      <alignment horizontal="left" vertical="center" wrapText="1"/>
    </xf>
    <xf numFmtId="0" fontId="0" fillId="10" borderId="5" xfId="0" applyFill="1" applyBorder="1"/>
    <xf numFmtId="0" fontId="0" fillId="10" borderId="0" xfId="0" applyFill="1" applyBorder="1" applyAlignment="1">
      <alignment horizontal="left" vertical="center" wrapText="1"/>
    </xf>
    <xf numFmtId="0" fontId="0" fillId="10" borderId="6" xfId="0" applyFill="1" applyBorder="1"/>
    <xf numFmtId="0" fontId="0" fillId="10" borderId="7" xfId="0" applyFill="1" applyBorder="1"/>
    <xf numFmtId="43" fontId="0" fillId="10" borderId="7" xfId="1" applyFont="1" applyFill="1" applyBorder="1"/>
    <xf numFmtId="0" fontId="0" fillId="10" borderId="7" xfId="0" applyFill="1" applyBorder="1" applyAlignment="1">
      <alignment horizontal="left" vertical="center" wrapText="1"/>
    </xf>
    <xf numFmtId="0" fontId="0" fillId="10" borderId="8" xfId="0" applyFill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4" xfId="0" applyBorder="1"/>
    <xf numFmtId="43" fontId="0" fillId="0" borderId="0" xfId="1" applyFont="1" applyBorder="1"/>
    <xf numFmtId="43" fontId="0" fillId="0" borderId="0" xfId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5" xfId="0" applyBorder="1"/>
    <xf numFmtId="0" fontId="0" fillId="9" borderId="0" xfId="0" applyFill="1" applyBorder="1"/>
    <xf numFmtId="43" fontId="0" fillId="9" borderId="0" xfId="1" applyFont="1" applyFill="1" applyBorder="1"/>
    <xf numFmtId="0" fontId="0" fillId="9" borderId="0" xfId="0" applyFill="1" applyBorder="1" applyAlignment="1">
      <alignment horizontal="left" vertical="center" wrapText="1"/>
    </xf>
    <xf numFmtId="43" fontId="0" fillId="5" borderId="0" xfId="1" applyFont="1" applyFill="1" applyBorder="1"/>
    <xf numFmtId="0" fontId="0" fillId="5" borderId="0" xfId="0" applyFill="1" applyBorder="1" applyAlignment="1">
      <alignment horizontal="left" vertical="center" wrapText="1"/>
    </xf>
    <xf numFmtId="43" fontId="0" fillId="5" borderId="0" xfId="0" applyNumberFormat="1" applyFill="1" applyBorder="1"/>
    <xf numFmtId="0" fontId="0" fillId="4" borderId="0" xfId="0" applyFill="1" applyBorder="1"/>
    <xf numFmtId="43" fontId="0" fillId="4" borderId="0" xfId="1" applyFont="1" applyFill="1" applyBorder="1"/>
    <xf numFmtId="0" fontId="0" fillId="4" borderId="0" xfId="0" applyFill="1" applyBorder="1" applyAlignment="1">
      <alignment horizontal="left" vertical="center" wrapText="1"/>
    </xf>
    <xf numFmtId="43" fontId="0" fillId="4" borderId="0" xfId="0" applyNumberFormat="1" applyFill="1" applyBorder="1"/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/>
    <xf numFmtId="0" fontId="2" fillId="0" borderId="0" xfId="0" applyFont="1" applyBorder="1"/>
    <xf numFmtId="0" fontId="0" fillId="0" borderId="0" xfId="0" applyBorder="1" applyAlignment="1">
      <alignment vertical="center"/>
    </xf>
    <xf numFmtId="43" fontId="0" fillId="0" borderId="0" xfId="1" applyFont="1" applyBorder="1" applyAlignment="1">
      <alignment vertical="center"/>
    </xf>
    <xf numFmtId="0" fontId="3" fillId="0" borderId="4" xfId="2" applyFill="1" applyBorder="1"/>
    <xf numFmtId="0" fontId="4" fillId="0" borderId="0" xfId="0" applyFont="1" applyFill="1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43" fontId="0" fillId="3" borderId="0" xfId="1" applyFont="1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0" xfId="0" applyFill="1" applyBorder="1"/>
    <xf numFmtId="0" fontId="0" fillId="0" borderId="9" xfId="0" applyBorder="1"/>
    <xf numFmtId="0" fontId="3" fillId="0" borderId="0" xfId="2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3" fontId="0" fillId="0" borderId="0" xfId="1" applyFont="1" applyFill="1" applyAlignment="1">
      <alignment horizontal="left" vertical="center"/>
    </xf>
    <xf numFmtId="43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9" borderId="0" xfId="1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43" fontId="0" fillId="9" borderId="0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43" fontId="0" fillId="9" borderId="0" xfId="0" applyNumberFormat="1" applyFill="1" applyBorder="1"/>
    <xf numFmtId="0" fontId="0" fillId="11" borderId="0" xfId="0" applyFill="1" applyBorder="1"/>
    <xf numFmtId="43" fontId="0" fillId="11" borderId="0" xfId="1" applyFont="1" applyFill="1" applyBorder="1"/>
    <xf numFmtId="0" fontId="0" fillId="11" borderId="0" xfId="0" applyFill="1" applyBorder="1" applyAlignment="1">
      <alignment horizontal="left" vertical="center" wrapText="1"/>
    </xf>
    <xf numFmtId="0" fontId="0" fillId="11" borderId="0" xfId="0" applyFill="1"/>
    <xf numFmtId="0" fontId="0" fillId="11" borderId="2" xfId="0" applyFill="1" applyBorder="1" applyAlignment="1">
      <alignment horizontal="center" vertical="center" wrapText="1"/>
    </xf>
    <xf numFmtId="43" fontId="0" fillId="11" borderId="0" xfId="0" applyNumberFormat="1" applyFill="1" applyBorder="1"/>
    <xf numFmtId="43" fontId="0" fillId="12" borderId="0" xfId="1" applyFont="1" applyFill="1" applyBorder="1"/>
    <xf numFmtId="0" fontId="0" fillId="12" borderId="0" xfId="0" applyFill="1" applyBorder="1"/>
    <xf numFmtId="0" fontId="0" fillId="12" borderId="0" xfId="0" applyFill="1" applyBorder="1" applyAlignment="1">
      <alignment horizontal="left" vertical="center" wrapText="1"/>
    </xf>
    <xf numFmtId="43" fontId="0" fillId="12" borderId="0" xfId="0" applyNumberFormat="1" applyFill="1" applyBorder="1"/>
    <xf numFmtId="0" fontId="0" fillId="12" borderId="0" xfId="0" applyFill="1"/>
    <xf numFmtId="0" fontId="0" fillId="13" borderId="0" xfId="0" applyFill="1"/>
    <xf numFmtId="0" fontId="3" fillId="0" borderId="12" xfId="2" applyFill="1" applyBorder="1"/>
    <xf numFmtId="0" fontId="0" fillId="0" borderId="13" xfId="0" applyFill="1" applyBorder="1"/>
    <xf numFmtId="43" fontId="0" fillId="0" borderId="13" xfId="1" applyFont="1" applyFill="1" applyBorder="1"/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/>
    <xf numFmtId="0" fontId="3" fillId="0" borderId="15" xfId="2" applyBorder="1"/>
    <xf numFmtId="0" fontId="0" fillId="0" borderId="16" xfId="0" applyBorder="1"/>
    <xf numFmtId="0" fontId="3" fillId="0" borderId="15" xfId="2" applyFill="1" applyBorder="1"/>
    <xf numFmtId="0" fontId="0" fillId="0" borderId="16" xfId="0" applyFill="1" applyBorder="1"/>
    <xf numFmtId="0" fontId="3" fillId="5" borderId="15" xfId="2" applyFill="1" applyBorder="1"/>
    <xf numFmtId="43" fontId="0" fillId="5" borderId="16" xfId="0" applyNumberFormat="1" applyFill="1" applyBorder="1"/>
    <xf numFmtId="0" fontId="3" fillId="4" borderId="15" xfId="2" applyFill="1" applyBorder="1"/>
    <xf numFmtId="0" fontId="0" fillId="4" borderId="16" xfId="0" applyFill="1" applyBorder="1"/>
    <xf numFmtId="0" fontId="3" fillId="9" borderId="15" xfId="2" applyFill="1" applyBorder="1"/>
    <xf numFmtId="0" fontId="0" fillId="9" borderId="16" xfId="0" applyFill="1" applyBorder="1"/>
    <xf numFmtId="0" fontId="2" fillId="0" borderId="15" xfId="0" applyFont="1" applyBorder="1"/>
    <xf numFmtId="0" fontId="0" fillId="0" borderId="15" xfId="0" applyBorder="1"/>
    <xf numFmtId="0" fontId="3" fillId="0" borderId="15" xfId="2" applyBorder="1" applyAlignment="1">
      <alignment vertical="center"/>
    </xf>
    <xf numFmtId="0" fontId="0" fillId="0" borderId="16" xfId="0" applyBorder="1" applyAlignment="1">
      <alignment vertical="center"/>
    </xf>
    <xf numFmtId="0" fontId="0" fillId="5" borderId="15" xfId="0" applyFill="1" applyBorder="1"/>
    <xf numFmtId="43" fontId="0" fillId="0" borderId="16" xfId="0" applyNumberFormat="1" applyFill="1" applyBorder="1" applyAlignment="1">
      <alignment vertical="center"/>
    </xf>
    <xf numFmtId="0" fontId="3" fillId="9" borderId="15" xfId="2" applyFill="1" applyBorder="1" applyAlignment="1">
      <alignment vertical="center"/>
    </xf>
    <xf numFmtId="43" fontId="0" fillId="9" borderId="16" xfId="0" applyNumberFormat="1" applyFill="1" applyBorder="1" applyAlignment="1">
      <alignment vertical="center"/>
    </xf>
    <xf numFmtId="0" fontId="3" fillId="12" borderId="15" xfId="2" applyFill="1" applyBorder="1"/>
    <xf numFmtId="0" fontId="0" fillId="12" borderId="16" xfId="0" applyFill="1" applyBorder="1"/>
    <xf numFmtId="0" fontId="3" fillId="11" borderId="15" xfId="2" applyFill="1" applyBorder="1"/>
    <xf numFmtId="0" fontId="0" fillId="11" borderId="16" xfId="0" applyFill="1" applyBorder="1"/>
    <xf numFmtId="0" fontId="3" fillId="0" borderId="15" xfId="2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" fillId="6" borderId="0" xfId="2" applyFill="1" applyBorder="1"/>
    <xf numFmtId="43" fontId="0" fillId="6" borderId="0" xfId="1" applyFont="1" applyFill="1" applyBorder="1"/>
    <xf numFmtId="0" fontId="0" fillId="6" borderId="0" xfId="0" applyFill="1" applyBorder="1" applyAlignment="1">
      <alignment horizontal="left" vertical="center" wrapText="1"/>
    </xf>
    <xf numFmtId="0" fontId="3" fillId="0" borderId="17" xfId="2" applyBorder="1"/>
    <xf numFmtId="0" fontId="0" fillId="0" borderId="7" xfId="0" applyBorder="1"/>
    <xf numFmtId="43" fontId="0" fillId="0" borderId="7" xfId="1" applyFont="1" applyBorder="1"/>
    <xf numFmtId="0" fontId="0" fillId="0" borderId="7" xfId="0" applyBorder="1" applyAlignment="1">
      <alignment horizontal="left" vertical="center" wrapText="1"/>
    </xf>
    <xf numFmtId="0" fontId="0" fillId="0" borderId="18" xfId="0" applyBorder="1"/>
    <xf numFmtId="0" fontId="0" fillId="6" borderId="0" xfId="0" applyFill="1" applyAlignment="1">
      <alignment horizontal="left" vertical="center"/>
    </xf>
    <xf numFmtId="0" fontId="0" fillId="0" borderId="19" xfId="0" applyBorder="1"/>
    <xf numFmtId="0" fontId="6" fillId="0" borderId="10" xfId="0" applyFont="1" applyBorder="1"/>
    <xf numFmtId="0" fontId="7" fillId="0" borderId="0" xfId="0" applyFont="1"/>
    <xf numFmtId="0" fontId="4" fillId="0" borderId="0" xfId="0" applyFont="1"/>
    <xf numFmtId="0" fontId="7" fillId="10" borderId="9" xfId="0" applyFont="1" applyFill="1" applyBorder="1" applyAlignment="1">
      <alignment horizontal="center"/>
    </xf>
    <xf numFmtId="0" fontId="4" fillId="10" borderId="10" xfId="0" applyFont="1" applyFill="1" applyBorder="1"/>
    <xf numFmtId="0" fontId="8" fillId="10" borderId="10" xfId="0" applyFont="1" applyFill="1" applyBorder="1" applyAlignment="1">
      <alignment horizontal="left" vertical="center" indent="4"/>
    </xf>
    <xf numFmtId="0" fontId="10" fillId="10" borderId="10" xfId="0" applyFont="1" applyFill="1" applyBorder="1" applyAlignment="1">
      <alignment horizontal="left" vertical="center" indent="4"/>
    </xf>
    <xf numFmtId="0" fontId="8" fillId="10" borderId="10" xfId="0" applyFont="1" applyFill="1" applyBorder="1" applyAlignment="1">
      <alignment horizontal="left" vertical="center" indent="6"/>
    </xf>
    <xf numFmtId="0" fontId="8" fillId="10" borderId="10" xfId="0" applyFont="1" applyFill="1" applyBorder="1" applyAlignment="1">
      <alignment vertical="center"/>
    </xf>
    <xf numFmtId="0" fontId="0" fillId="10" borderId="10" xfId="0" applyFill="1" applyBorder="1"/>
    <xf numFmtId="14" fontId="12" fillId="10" borderId="11" xfId="0" applyNumberFormat="1" applyFont="1" applyFill="1" applyBorder="1" applyAlignment="1">
      <alignment horizontal="left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Combined Water &amp; Sewer Monthly Cost </a:t>
            </a:r>
            <a:r>
              <a:rPr lang="en-US" sz="1600" baseline="0"/>
              <a:t>- </a:t>
            </a:r>
            <a:r>
              <a:rPr lang="en-US" sz="1600"/>
              <a:t>6000 Gallons Each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90826451571602E-2"/>
          <c:y val="0.11441204925222589"/>
          <c:w val="0.87973401190704825"/>
          <c:h val="0.6894415331236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'study base'!$F$5</c:f>
              <c:strCache>
                <c:ptCount val="1"/>
                <c:pt idx="0">
                  <c:v> Combined Water &amp; Sewer Monthly Cost 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'study base'!$B$7:$B$142</c:f>
              <c:strCache>
                <c:ptCount val="134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  <c:pt idx="65">
                  <c:v>Village of Lake Orion</c:v>
                </c:pt>
                <c:pt idx="66">
                  <c:v>City of Evart</c:v>
                </c:pt>
                <c:pt idx="67">
                  <c:v>City of St. Louis</c:v>
                </c:pt>
                <c:pt idx="68">
                  <c:v>City of Richmond</c:v>
                </c:pt>
                <c:pt idx="69">
                  <c:v>City of Tawas City - email comments</c:v>
                </c:pt>
                <c:pt idx="70">
                  <c:v>City of North Muskegon 4/1/2016</c:v>
                </c:pt>
                <c:pt idx="71">
                  <c:v>City of Alpena</c:v>
                </c:pt>
                <c:pt idx="72">
                  <c:v>Oakland Charter Township</c:v>
                </c:pt>
                <c:pt idx="73">
                  <c:v>Village of Shelby</c:v>
                </c:pt>
                <c:pt idx="74">
                  <c:v>Village of Sparta</c:v>
                </c:pt>
                <c:pt idx="75">
                  <c:v>Village of Bellaire</c:v>
                </c:pt>
                <c:pt idx="76">
                  <c:v>Village of Brooklyn</c:v>
                </c:pt>
                <c:pt idx="77">
                  <c:v>City of Southfield</c:v>
                </c:pt>
                <c:pt idx="78">
                  <c:v>DeWitt Charter Township</c:v>
                </c:pt>
                <c:pt idx="79">
                  <c:v>City of Clare</c:v>
                </c:pt>
                <c:pt idx="80">
                  <c:v>City of Cedar Springs</c:v>
                </c:pt>
                <c:pt idx="81">
                  <c:v>Villae of Blissfield</c:v>
                </c:pt>
                <c:pt idx="82">
                  <c:v>City of Saline</c:v>
                </c:pt>
                <c:pt idx="83">
                  <c:v>City of Charlotte</c:v>
                </c:pt>
                <c:pt idx="84">
                  <c:v>City of Marshall</c:v>
                </c:pt>
                <c:pt idx="85">
                  <c:v>City of Rockford</c:v>
                </c:pt>
                <c:pt idx="86">
                  <c:v>City of Caro</c:v>
                </c:pt>
                <c:pt idx="87">
                  <c:v>Village of Barryton</c:v>
                </c:pt>
                <c:pt idx="88">
                  <c:v>City of Onaway</c:v>
                </c:pt>
                <c:pt idx="89">
                  <c:v>City of Frankfort</c:v>
                </c:pt>
                <c:pt idx="90">
                  <c:v>City of Birmingham</c:v>
                </c:pt>
                <c:pt idx="91">
                  <c:v>City of Rogers City</c:v>
                </c:pt>
                <c:pt idx="92">
                  <c:v>Village of Oxford</c:v>
                </c:pt>
                <c:pt idx="93">
                  <c:v>Village of Beverly Hills</c:v>
                </c:pt>
                <c:pt idx="94">
                  <c:v>City of Port Huron</c:v>
                </c:pt>
                <c:pt idx="95">
                  <c:v>City of Corunna</c:v>
                </c:pt>
                <c:pt idx="96">
                  <c:v>City of Jonesville</c:v>
                </c:pt>
                <c:pt idx="97">
                  <c:v>City of Crystal Falls</c:v>
                </c:pt>
                <c:pt idx="98">
                  <c:v>City of Clawson</c:v>
                </c:pt>
                <c:pt idx="99">
                  <c:v>City of Grand Blanc</c:v>
                </c:pt>
                <c:pt idx="100">
                  <c:v>City of Grand Ledge</c:v>
                </c:pt>
                <c:pt idx="101">
                  <c:v>Redford Township</c:v>
                </c:pt>
                <c:pt idx="102">
                  <c:v>City of Farmington</c:v>
                </c:pt>
                <c:pt idx="103">
                  <c:v>City of Dexter</c:v>
                </c:pt>
                <c:pt idx="104">
                  <c:v>China Township</c:v>
                </c:pt>
                <c:pt idx="105">
                  <c:v>City of Frankenmuth</c:v>
                </c:pt>
                <c:pt idx="106">
                  <c:v>Village of Grosse Pointe Shores</c:v>
                </c:pt>
                <c:pt idx="107">
                  <c:v>City of Flushing</c:v>
                </c:pt>
                <c:pt idx="108">
                  <c:v>City of Howell</c:v>
                </c:pt>
                <c:pt idx="109">
                  <c:v>Village of Elk Rapids</c:v>
                </c:pt>
                <c:pt idx="110">
                  <c:v>City of Scottville</c:v>
                </c:pt>
                <c:pt idx="111">
                  <c:v>Hartland Township</c:v>
                </c:pt>
                <c:pt idx="112">
                  <c:v>City of Pleasant Ridge</c:v>
                </c:pt>
                <c:pt idx="113">
                  <c:v>City of Burton</c:v>
                </c:pt>
                <c:pt idx="114">
                  <c:v>City of Mt. Morris</c:v>
                </c:pt>
                <c:pt idx="115">
                  <c:v>City of Sandusky</c:v>
                </c:pt>
                <c:pt idx="116">
                  <c:v>K. I Sawyer (Marquette County)</c:v>
                </c:pt>
                <c:pt idx="117">
                  <c:v>City of AuGres</c:v>
                </c:pt>
                <c:pt idx="118">
                  <c:v>City of Williamston</c:v>
                </c:pt>
                <c:pt idx="119">
                  <c:v>City of Chelsea - 3/4"</c:v>
                </c:pt>
                <c:pt idx="120">
                  <c:v>City of Mt Clemens</c:v>
                </c:pt>
                <c:pt idx="121">
                  <c:v>Village of Union City</c:v>
                </c:pt>
                <c:pt idx="122">
                  <c:v>City of Essexville</c:v>
                </c:pt>
                <c:pt idx="123">
                  <c:v>City of Sault Ste Marie</c:v>
                </c:pt>
                <c:pt idx="124">
                  <c:v>City of Davison</c:v>
                </c:pt>
                <c:pt idx="125">
                  <c:v>City of Chelsea - 1"</c:v>
                </c:pt>
                <c:pt idx="126">
                  <c:v>City of Fraser</c:v>
                </c:pt>
                <c:pt idx="127">
                  <c:v>City of Montrose</c:v>
                </c:pt>
                <c:pt idx="128">
                  <c:v>City of Norway</c:v>
                </c:pt>
                <c:pt idx="129">
                  <c:v>City of West Branch - offered help</c:v>
                </c:pt>
                <c:pt idx="130">
                  <c:v>City of Munising</c:v>
                </c:pt>
                <c:pt idx="131">
                  <c:v>Village of Ontonagon</c:v>
                </c:pt>
                <c:pt idx="132">
                  <c:v>City of Ishpeming</c:v>
                </c:pt>
                <c:pt idx="133">
                  <c:v>City of Negaunee</c:v>
                </c:pt>
              </c:strCache>
            </c:strRef>
          </c:cat>
          <c:val>
            <c:numRef>
              <c:f>'study base'!$F$7:$F$142</c:f>
              <c:numCache>
                <c:formatCode>_(* #,##0.00_);_(* \(#,##0.00\);_(* "-"??_);_(@_)</c:formatCode>
                <c:ptCount val="136"/>
                <c:pt idx="1">
                  <c:v>21.299999999999997</c:v>
                </c:pt>
                <c:pt idx="2">
                  <c:v>22.1</c:v>
                </c:pt>
                <c:pt idx="3">
                  <c:v>23.36</c:v>
                </c:pt>
                <c:pt idx="4">
                  <c:v>24.42</c:v>
                </c:pt>
                <c:pt idx="5">
                  <c:v>31.67</c:v>
                </c:pt>
                <c:pt idx="6">
                  <c:v>32.549999999999997</c:v>
                </c:pt>
                <c:pt idx="7">
                  <c:v>33.53</c:v>
                </c:pt>
                <c:pt idx="8">
                  <c:v>35.299999999999997</c:v>
                </c:pt>
                <c:pt idx="9">
                  <c:v>36.35</c:v>
                </c:pt>
                <c:pt idx="10">
                  <c:v>37.08</c:v>
                </c:pt>
                <c:pt idx="11">
                  <c:v>40.549999999999997</c:v>
                </c:pt>
                <c:pt idx="12">
                  <c:v>44.480000000000004</c:v>
                </c:pt>
                <c:pt idx="13">
                  <c:v>46.32</c:v>
                </c:pt>
                <c:pt idx="14">
                  <c:v>47.04</c:v>
                </c:pt>
                <c:pt idx="15">
                  <c:v>47.68</c:v>
                </c:pt>
                <c:pt idx="16">
                  <c:v>49.3</c:v>
                </c:pt>
                <c:pt idx="17">
                  <c:v>49.65</c:v>
                </c:pt>
                <c:pt idx="18">
                  <c:v>50.04</c:v>
                </c:pt>
                <c:pt idx="19">
                  <c:v>50.150000000000006</c:v>
                </c:pt>
                <c:pt idx="20">
                  <c:v>51</c:v>
                </c:pt>
                <c:pt idx="21">
                  <c:v>51.66</c:v>
                </c:pt>
                <c:pt idx="22">
                  <c:v>51.769999999999996</c:v>
                </c:pt>
                <c:pt idx="23">
                  <c:v>52.97</c:v>
                </c:pt>
                <c:pt idx="24">
                  <c:v>52.989999999999995</c:v>
                </c:pt>
                <c:pt idx="25">
                  <c:v>53.08</c:v>
                </c:pt>
                <c:pt idx="26">
                  <c:v>54.239999999999995</c:v>
                </c:pt>
                <c:pt idx="27">
                  <c:v>54.789999999999992</c:v>
                </c:pt>
                <c:pt idx="28">
                  <c:v>55.879999999999995</c:v>
                </c:pt>
                <c:pt idx="29">
                  <c:v>56</c:v>
                </c:pt>
                <c:pt idx="30">
                  <c:v>56.1</c:v>
                </c:pt>
                <c:pt idx="31">
                  <c:v>56.33</c:v>
                </c:pt>
                <c:pt idx="32">
                  <c:v>56.449999999999996</c:v>
                </c:pt>
                <c:pt idx="33">
                  <c:v>57.11</c:v>
                </c:pt>
                <c:pt idx="34">
                  <c:v>57.34</c:v>
                </c:pt>
                <c:pt idx="35">
                  <c:v>57.429998111999993</c:v>
                </c:pt>
                <c:pt idx="36">
                  <c:v>57.489999999999995</c:v>
                </c:pt>
                <c:pt idx="37">
                  <c:v>57.550000000000004</c:v>
                </c:pt>
                <c:pt idx="38">
                  <c:v>57.67</c:v>
                </c:pt>
                <c:pt idx="39">
                  <c:v>58.230000000000004</c:v>
                </c:pt>
                <c:pt idx="40">
                  <c:v>58.570000000000007</c:v>
                </c:pt>
                <c:pt idx="41">
                  <c:v>58.7</c:v>
                </c:pt>
                <c:pt idx="42">
                  <c:v>59.31</c:v>
                </c:pt>
                <c:pt idx="43">
                  <c:v>59.75</c:v>
                </c:pt>
                <c:pt idx="44">
                  <c:v>60.14</c:v>
                </c:pt>
                <c:pt idx="45">
                  <c:v>60.44</c:v>
                </c:pt>
                <c:pt idx="46">
                  <c:v>61.01</c:v>
                </c:pt>
                <c:pt idx="47">
                  <c:v>61.53</c:v>
                </c:pt>
                <c:pt idx="48">
                  <c:v>61.53</c:v>
                </c:pt>
                <c:pt idx="49">
                  <c:v>61.67</c:v>
                </c:pt>
                <c:pt idx="50">
                  <c:v>63.31</c:v>
                </c:pt>
                <c:pt idx="51">
                  <c:v>63.39</c:v>
                </c:pt>
                <c:pt idx="52">
                  <c:v>63.49</c:v>
                </c:pt>
                <c:pt idx="53">
                  <c:v>64.59</c:v>
                </c:pt>
                <c:pt idx="54">
                  <c:v>65.11</c:v>
                </c:pt>
                <c:pt idx="55">
                  <c:v>65.72</c:v>
                </c:pt>
                <c:pt idx="56">
                  <c:v>66.52</c:v>
                </c:pt>
                <c:pt idx="57">
                  <c:v>66.899999999999991</c:v>
                </c:pt>
                <c:pt idx="58">
                  <c:v>67.260000000000005</c:v>
                </c:pt>
                <c:pt idx="59">
                  <c:v>67.599999999999994</c:v>
                </c:pt>
                <c:pt idx="60">
                  <c:v>68.319999999999993</c:v>
                </c:pt>
                <c:pt idx="61">
                  <c:v>68.959999999999994</c:v>
                </c:pt>
                <c:pt idx="62">
                  <c:v>70.5</c:v>
                </c:pt>
                <c:pt idx="63">
                  <c:v>70.66</c:v>
                </c:pt>
                <c:pt idx="64">
                  <c:v>71.14</c:v>
                </c:pt>
                <c:pt idx="65">
                  <c:v>71.53</c:v>
                </c:pt>
                <c:pt idx="66">
                  <c:v>71.820000000000007</c:v>
                </c:pt>
                <c:pt idx="67">
                  <c:v>72.98</c:v>
                </c:pt>
                <c:pt idx="68">
                  <c:v>73.02000000000001</c:v>
                </c:pt>
                <c:pt idx="69">
                  <c:v>73.240000000000009</c:v>
                </c:pt>
                <c:pt idx="70">
                  <c:v>73.259999999999991</c:v>
                </c:pt>
                <c:pt idx="71">
                  <c:v>73.72</c:v>
                </c:pt>
                <c:pt idx="72">
                  <c:v>73.88</c:v>
                </c:pt>
                <c:pt idx="73">
                  <c:v>74.400000000000006</c:v>
                </c:pt>
                <c:pt idx="74">
                  <c:v>74.52</c:v>
                </c:pt>
                <c:pt idx="75">
                  <c:v>74.59</c:v>
                </c:pt>
                <c:pt idx="76">
                  <c:v>74.650000000000006</c:v>
                </c:pt>
                <c:pt idx="77">
                  <c:v>75.240000000000009</c:v>
                </c:pt>
                <c:pt idx="78">
                  <c:v>75.31</c:v>
                </c:pt>
                <c:pt idx="79">
                  <c:v>75.36</c:v>
                </c:pt>
                <c:pt idx="80">
                  <c:v>75.89</c:v>
                </c:pt>
                <c:pt idx="81">
                  <c:v>76.02</c:v>
                </c:pt>
                <c:pt idx="82">
                  <c:v>76.06</c:v>
                </c:pt>
                <c:pt idx="83">
                  <c:v>77.84</c:v>
                </c:pt>
                <c:pt idx="84">
                  <c:v>78.319999999999993</c:v>
                </c:pt>
                <c:pt idx="85">
                  <c:v>78.52</c:v>
                </c:pt>
                <c:pt idx="86">
                  <c:v>78.58</c:v>
                </c:pt>
                <c:pt idx="87">
                  <c:v>79</c:v>
                </c:pt>
                <c:pt idx="88">
                  <c:v>79.3</c:v>
                </c:pt>
                <c:pt idx="89">
                  <c:v>79.36</c:v>
                </c:pt>
                <c:pt idx="90">
                  <c:v>81.210000000000008</c:v>
                </c:pt>
                <c:pt idx="91">
                  <c:v>81.84</c:v>
                </c:pt>
                <c:pt idx="92">
                  <c:v>83.53</c:v>
                </c:pt>
                <c:pt idx="93">
                  <c:v>83.740000000000009</c:v>
                </c:pt>
                <c:pt idx="94">
                  <c:v>84.93</c:v>
                </c:pt>
                <c:pt idx="95">
                  <c:v>85.65</c:v>
                </c:pt>
                <c:pt idx="96">
                  <c:v>85.72</c:v>
                </c:pt>
                <c:pt idx="97">
                  <c:v>85.75</c:v>
                </c:pt>
                <c:pt idx="98">
                  <c:v>86.09</c:v>
                </c:pt>
                <c:pt idx="99">
                  <c:v>86.19</c:v>
                </c:pt>
                <c:pt idx="100">
                  <c:v>86.45</c:v>
                </c:pt>
                <c:pt idx="101">
                  <c:v>86.86999999999999</c:v>
                </c:pt>
                <c:pt idx="102">
                  <c:v>87.109999999999985</c:v>
                </c:pt>
                <c:pt idx="103">
                  <c:v>87.95</c:v>
                </c:pt>
                <c:pt idx="104">
                  <c:v>88.2</c:v>
                </c:pt>
                <c:pt idx="105">
                  <c:v>89.32</c:v>
                </c:pt>
                <c:pt idx="106">
                  <c:v>90.16</c:v>
                </c:pt>
                <c:pt idx="107">
                  <c:v>90.210000000000008</c:v>
                </c:pt>
                <c:pt idx="108">
                  <c:v>92.94</c:v>
                </c:pt>
                <c:pt idx="109">
                  <c:v>93.23</c:v>
                </c:pt>
                <c:pt idx="110">
                  <c:v>94.27</c:v>
                </c:pt>
                <c:pt idx="111">
                  <c:v>94.37</c:v>
                </c:pt>
                <c:pt idx="112">
                  <c:v>95.65</c:v>
                </c:pt>
                <c:pt idx="113">
                  <c:v>95.69</c:v>
                </c:pt>
                <c:pt idx="114">
                  <c:v>98.1</c:v>
                </c:pt>
                <c:pt idx="115">
                  <c:v>98.62</c:v>
                </c:pt>
                <c:pt idx="116">
                  <c:v>100.5</c:v>
                </c:pt>
                <c:pt idx="117">
                  <c:v>105.38</c:v>
                </c:pt>
                <c:pt idx="118">
                  <c:v>106.91</c:v>
                </c:pt>
                <c:pt idx="119">
                  <c:v>107.14</c:v>
                </c:pt>
                <c:pt idx="120">
                  <c:v>107.89999999999999</c:v>
                </c:pt>
                <c:pt idx="121">
                  <c:v>107.98</c:v>
                </c:pt>
                <c:pt idx="122">
                  <c:v>108.29</c:v>
                </c:pt>
                <c:pt idx="123">
                  <c:v>110.3</c:v>
                </c:pt>
                <c:pt idx="124">
                  <c:v>111.71000000000001</c:v>
                </c:pt>
                <c:pt idx="125">
                  <c:v>111.9</c:v>
                </c:pt>
                <c:pt idx="126">
                  <c:v>112.86000000000001</c:v>
                </c:pt>
                <c:pt idx="127">
                  <c:v>115.6</c:v>
                </c:pt>
                <c:pt idx="128">
                  <c:v>118</c:v>
                </c:pt>
                <c:pt idx="129">
                  <c:v>124.46000000000001</c:v>
                </c:pt>
                <c:pt idx="130">
                  <c:v>130.88999999999999</c:v>
                </c:pt>
                <c:pt idx="131">
                  <c:v>133</c:v>
                </c:pt>
                <c:pt idx="132">
                  <c:v>137.63999999999999</c:v>
                </c:pt>
                <c:pt idx="133">
                  <c:v>153.59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E-4F58-B1C1-B3855391596E}"/>
            </c:ext>
          </c:extLst>
        </c:ser>
        <c:ser>
          <c:idx val="1"/>
          <c:order val="1"/>
          <c:tx>
            <c:strRef>
              <c:f>'study base'!$I$5</c:f>
              <c:strCache>
                <c:ptCount val="1"/>
                <c:pt idx="0">
                  <c:v>City Of Grand Haven (Combined)</c:v>
                </c:pt>
              </c:strCache>
            </c:strRef>
          </c:tx>
          <c:invertIfNegative val="0"/>
          <c:cat>
            <c:strRef>
              <c:f>'study base'!$B$7:$B$142</c:f>
              <c:strCache>
                <c:ptCount val="134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  <c:pt idx="65">
                  <c:v>Village of Lake Orion</c:v>
                </c:pt>
                <c:pt idx="66">
                  <c:v>City of Evart</c:v>
                </c:pt>
                <c:pt idx="67">
                  <c:v>City of St. Louis</c:v>
                </c:pt>
                <c:pt idx="68">
                  <c:v>City of Richmond</c:v>
                </c:pt>
                <c:pt idx="69">
                  <c:v>City of Tawas City - email comments</c:v>
                </c:pt>
                <c:pt idx="70">
                  <c:v>City of North Muskegon 4/1/2016</c:v>
                </c:pt>
                <c:pt idx="71">
                  <c:v>City of Alpena</c:v>
                </c:pt>
                <c:pt idx="72">
                  <c:v>Oakland Charter Township</c:v>
                </c:pt>
                <c:pt idx="73">
                  <c:v>Village of Shelby</c:v>
                </c:pt>
                <c:pt idx="74">
                  <c:v>Village of Sparta</c:v>
                </c:pt>
                <c:pt idx="75">
                  <c:v>Village of Bellaire</c:v>
                </c:pt>
                <c:pt idx="76">
                  <c:v>Village of Brooklyn</c:v>
                </c:pt>
                <c:pt idx="77">
                  <c:v>City of Southfield</c:v>
                </c:pt>
                <c:pt idx="78">
                  <c:v>DeWitt Charter Township</c:v>
                </c:pt>
                <c:pt idx="79">
                  <c:v>City of Clare</c:v>
                </c:pt>
                <c:pt idx="80">
                  <c:v>City of Cedar Springs</c:v>
                </c:pt>
                <c:pt idx="81">
                  <c:v>Villae of Blissfield</c:v>
                </c:pt>
                <c:pt idx="82">
                  <c:v>City of Saline</c:v>
                </c:pt>
                <c:pt idx="83">
                  <c:v>City of Charlotte</c:v>
                </c:pt>
                <c:pt idx="84">
                  <c:v>City of Marshall</c:v>
                </c:pt>
                <c:pt idx="85">
                  <c:v>City of Rockford</c:v>
                </c:pt>
                <c:pt idx="86">
                  <c:v>City of Caro</c:v>
                </c:pt>
                <c:pt idx="87">
                  <c:v>Village of Barryton</c:v>
                </c:pt>
                <c:pt idx="88">
                  <c:v>City of Onaway</c:v>
                </c:pt>
                <c:pt idx="89">
                  <c:v>City of Frankfort</c:v>
                </c:pt>
                <c:pt idx="90">
                  <c:v>City of Birmingham</c:v>
                </c:pt>
                <c:pt idx="91">
                  <c:v>City of Rogers City</c:v>
                </c:pt>
                <c:pt idx="92">
                  <c:v>Village of Oxford</c:v>
                </c:pt>
                <c:pt idx="93">
                  <c:v>Village of Beverly Hills</c:v>
                </c:pt>
                <c:pt idx="94">
                  <c:v>City of Port Huron</c:v>
                </c:pt>
                <c:pt idx="95">
                  <c:v>City of Corunna</c:v>
                </c:pt>
                <c:pt idx="96">
                  <c:v>City of Jonesville</c:v>
                </c:pt>
                <c:pt idx="97">
                  <c:v>City of Crystal Falls</c:v>
                </c:pt>
                <c:pt idx="98">
                  <c:v>City of Clawson</c:v>
                </c:pt>
                <c:pt idx="99">
                  <c:v>City of Grand Blanc</c:v>
                </c:pt>
                <c:pt idx="100">
                  <c:v>City of Grand Ledge</c:v>
                </c:pt>
                <c:pt idx="101">
                  <c:v>Redford Township</c:v>
                </c:pt>
                <c:pt idx="102">
                  <c:v>City of Farmington</c:v>
                </c:pt>
                <c:pt idx="103">
                  <c:v>City of Dexter</c:v>
                </c:pt>
                <c:pt idx="104">
                  <c:v>China Township</c:v>
                </c:pt>
                <c:pt idx="105">
                  <c:v>City of Frankenmuth</c:v>
                </c:pt>
                <c:pt idx="106">
                  <c:v>Village of Grosse Pointe Shores</c:v>
                </c:pt>
                <c:pt idx="107">
                  <c:v>City of Flushing</c:v>
                </c:pt>
                <c:pt idx="108">
                  <c:v>City of Howell</c:v>
                </c:pt>
                <c:pt idx="109">
                  <c:v>Village of Elk Rapids</c:v>
                </c:pt>
                <c:pt idx="110">
                  <c:v>City of Scottville</c:v>
                </c:pt>
                <c:pt idx="111">
                  <c:v>Hartland Township</c:v>
                </c:pt>
                <c:pt idx="112">
                  <c:v>City of Pleasant Ridge</c:v>
                </c:pt>
                <c:pt idx="113">
                  <c:v>City of Burton</c:v>
                </c:pt>
                <c:pt idx="114">
                  <c:v>City of Mt. Morris</c:v>
                </c:pt>
                <c:pt idx="115">
                  <c:v>City of Sandusky</c:v>
                </c:pt>
                <c:pt idx="116">
                  <c:v>K. I Sawyer (Marquette County)</c:v>
                </c:pt>
                <c:pt idx="117">
                  <c:v>City of AuGres</c:v>
                </c:pt>
                <c:pt idx="118">
                  <c:v>City of Williamston</c:v>
                </c:pt>
                <c:pt idx="119">
                  <c:v>City of Chelsea - 3/4"</c:v>
                </c:pt>
                <c:pt idx="120">
                  <c:v>City of Mt Clemens</c:v>
                </c:pt>
                <c:pt idx="121">
                  <c:v>Village of Union City</c:v>
                </c:pt>
                <c:pt idx="122">
                  <c:v>City of Essexville</c:v>
                </c:pt>
                <c:pt idx="123">
                  <c:v>City of Sault Ste Marie</c:v>
                </c:pt>
                <c:pt idx="124">
                  <c:v>City of Davison</c:v>
                </c:pt>
                <c:pt idx="125">
                  <c:v>City of Chelsea - 1"</c:v>
                </c:pt>
                <c:pt idx="126">
                  <c:v>City of Fraser</c:v>
                </c:pt>
                <c:pt idx="127">
                  <c:v>City of Montrose</c:v>
                </c:pt>
                <c:pt idx="128">
                  <c:v>City of Norway</c:v>
                </c:pt>
                <c:pt idx="129">
                  <c:v>City of West Branch - offered help</c:v>
                </c:pt>
                <c:pt idx="130">
                  <c:v>City of Munising</c:v>
                </c:pt>
                <c:pt idx="131">
                  <c:v>Village of Ontonagon</c:v>
                </c:pt>
                <c:pt idx="132">
                  <c:v>City of Ishpeming</c:v>
                </c:pt>
                <c:pt idx="133">
                  <c:v>City of Negaunee</c:v>
                </c:pt>
              </c:strCache>
            </c:strRef>
          </c:cat>
          <c:val>
            <c:numRef>
              <c:f>'study base'!$I$7:$I$142</c:f>
              <c:numCache>
                <c:formatCode>General</c:formatCode>
                <c:ptCount val="136"/>
                <c:pt idx="15" formatCode="_(* #,##0.00_);_(* \(#,##0.00\);_(* &quot;-&quot;??_);_(@_)">
                  <c:v>47.68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FE-4F58-B1C1-B3855391596E}"/>
            </c:ext>
          </c:extLst>
        </c:ser>
        <c:ser>
          <c:idx val="2"/>
          <c:order val="2"/>
          <c:tx>
            <c:strRef>
              <c:f>'study base'!$L$5</c:f>
              <c:strCache>
                <c:ptCount val="1"/>
                <c:pt idx="0">
                  <c:v>Tri Cities Local Gov'ts (Combined)</c:v>
                </c:pt>
              </c:strCache>
            </c:strRef>
          </c:tx>
          <c:invertIfNegative val="0"/>
          <c:cat>
            <c:strRef>
              <c:f>'study base'!$B$7:$B$142</c:f>
              <c:strCache>
                <c:ptCount val="134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  <c:pt idx="65">
                  <c:v>Village of Lake Orion</c:v>
                </c:pt>
                <c:pt idx="66">
                  <c:v>City of Evart</c:v>
                </c:pt>
                <c:pt idx="67">
                  <c:v>City of St. Louis</c:v>
                </c:pt>
                <c:pt idx="68">
                  <c:v>City of Richmond</c:v>
                </c:pt>
                <c:pt idx="69">
                  <c:v>City of Tawas City - email comments</c:v>
                </c:pt>
                <c:pt idx="70">
                  <c:v>City of North Muskegon 4/1/2016</c:v>
                </c:pt>
                <c:pt idx="71">
                  <c:v>City of Alpena</c:v>
                </c:pt>
                <c:pt idx="72">
                  <c:v>Oakland Charter Township</c:v>
                </c:pt>
                <c:pt idx="73">
                  <c:v>Village of Shelby</c:v>
                </c:pt>
                <c:pt idx="74">
                  <c:v>Village of Sparta</c:v>
                </c:pt>
                <c:pt idx="75">
                  <c:v>Village of Bellaire</c:v>
                </c:pt>
                <c:pt idx="76">
                  <c:v>Village of Brooklyn</c:v>
                </c:pt>
                <c:pt idx="77">
                  <c:v>City of Southfield</c:v>
                </c:pt>
                <c:pt idx="78">
                  <c:v>DeWitt Charter Township</c:v>
                </c:pt>
                <c:pt idx="79">
                  <c:v>City of Clare</c:v>
                </c:pt>
                <c:pt idx="80">
                  <c:v>City of Cedar Springs</c:v>
                </c:pt>
                <c:pt idx="81">
                  <c:v>Villae of Blissfield</c:v>
                </c:pt>
                <c:pt idx="82">
                  <c:v>City of Saline</c:v>
                </c:pt>
                <c:pt idx="83">
                  <c:v>City of Charlotte</c:v>
                </c:pt>
                <c:pt idx="84">
                  <c:v>City of Marshall</c:v>
                </c:pt>
                <c:pt idx="85">
                  <c:v>City of Rockford</c:v>
                </c:pt>
                <c:pt idx="86">
                  <c:v>City of Caro</c:v>
                </c:pt>
                <c:pt idx="87">
                  <c:v>Village of Barryton</c:v>
                </c:pt>
                <c:pt idx="88">
                  <c:v>City of Onaway</c:v>
                </c:pt>
                <c:pt idx="89">
                  <c:v>City of Frankfort</c:v>
                </c:pt>
                <c:pt idx="90">
                  <c:v>City of Birmingham</c:v>
                </c:pt>
                <c:pt idx="91">
                  <c:v>City of Rogers City</c:v>
                </c:pt>
                <c:pt idx="92">
                  <c:v>Village of Oxford</c:v>
                </c:pt>
                <c:pt idx="93">
                  <c:v>Village of Beverly Hills</c:v>
                </c:pt>
                <c:pt idx="94">
                  <c:v>City of Port Huron</c:v>
                </c:pt>
                <c:pt idx="95">
                  <c:v>City of Corunna</c:v>
                </c:pt>
                <c:pt idx="96">
                  <c:v>City of Jonesville</c:v>
                </c:pt>
                <c:pt idx="97">
                  <c:v>City of Crystal Falls</c:v>
                </c:pt>
                <c:pt idx="98">
                  <c:v>City of Clawson</c:v>
                </c:pt>
                <c:pt idx="99">
                  <c:v>City of Grand Blanc</c:v>
                </c:pt>
                <c:pt idx="100">
                  <c:v>City of Grand Ledge</c:v>
                </c:pt>
                <c:pt idx="101">
                  <c:v>Redford Township</c:v>
                </c:pt>
                <c:pt idx="102">
                  <c:v>City of Farmington</c:v>
                </c:pt>
                <c:pt idx="103">
                  <c:v>City of Dexter</c:v>
                </c:pt>
                <c:pt idx="104">
                  <c:v>China Township</c:v>
                </c:pt>
                <c:pt idx="105">
                  <c:v>City of Frankenmuth</c:v>
                </c:pt>
                <c:pt idx="106">
                  <c:v>Village of Grosse Pointe Shores</c:v>
                </c:pt>
                <c:pt idx="107">
                  <c:v>City of Flushing</c:v>
                </c:pt>
                <c:pt idx="108">
                  <c:v>City of Howell</c:v>
                </c:pt>
                <c:pt idx="109">
                  <c:v>Village of Elk Rapids</c:v>
                </c:pt>
                <c:pt idx="110">
                  <c:v>City of Scottville</c:v>
                </c:pt>
                <c:pt idx="111">
                  <c:v>Hartland Township</c:v>
                </c:pt>
                <c:pt idx="112">
                  <c:v>City of Pleasant Ridge</c:v>
                </c:pt>
                <c:pt idx="113">
                  <c:v>City of Burton</c:v>
                </c:pt>
                <c:pt idx="114">
                  <c:v>City of Mt. Morris</c:v>
                </c:pt>
                <c:pt idx="115">
                  <c:v>City of Sandusky</c:v>
                </c:pt>
                <c:pt idx="116">
                  <c:v>K. I Sawyer (Marquette County)</c:v>
                </c:pt>
                <c:pt idx="117">
                  <c:v>City of AuGres</c:v>
                </c:pt>
                <c:pt idx="118">
                  <c:v>City of Williamston</c:v>
                </c:pt>
                <c:pt idx="119">
                  <c:v>City of Chelsea - 3/4"</c:v>
                </c:pt>
                <c:pt idx="120">
                  <c:v>City of Mt Clemens</c:v>
                </c:pt>
                <c:pt idx="121">
                  <c:v>Village of Union City</c:v>
                </c:pt>
                <c:pt idx="122">
                  <c:v>City of Essexville</c:v>
                </c:pt>
                <c:pt idx="123">
                  <c:v>City of Sault Ste Marie</c:v>
                </c:pt>
                <c:pt idx="124">
                  <c:v>City of Davison</c:v>
                </c:pt>
                <c:pt idx="125">
                  <c:v>City of Chelsea - 1"</c:v>
                </c:pt>
                <c:pt idx="126">
                  <c:v>City of Fraser</c:v>
                </c:pt>
                <c:pt idx="127">
                  <c:v>City of Montrose</c:v>
                </c:pt>
                <c:pt idx="128">
                  <c:v>City of Norway</c:v>
                </c:pt>
                <c:pt idx="129">
                  <c:v>City of West Branch - offered help</c:v>
                </c:pt>
                <c:pt idx="130">
                  <c:v>City of Munising</c:v>
                </c:pt>
                <c:pt idx="131">
                  <c:v>Village of Ontonagon</c:v>
                </c:pt>
                <c:pt idx="132">
                  <c:v>City of Ishpeming</c:v>
                </c:pt>
                <c:pt idx="133">
                  <c:v>City of Negaunee</c:v>
                </c:pt>
              </c:strCache>
            </c:strRef>
          </c:cat>
          <c:val>
            <c:numRef>
              <c:f>'study base'!$L$7:$L$142</c:f>
              <c:numCache>
                <c:formatCode>General</c:formatCode>
                <c:ptCount val="136"/>
                <c:pt idx="12" formatCode="_(* #,##0.00_);_(* \(#,##0.00\);_(* &quot;-&quot;??_);_(@_)">
                  <c:v>44.480000000000004</c:v>
                </c:pt>
                <c:pt idx="31" formatCode="_(* #,##0.00_);_(* \(#,##0.00\);_(* &quot;-&quot;??_);_(@_)">
                  <c:v>56.33</c:v>
                </c:pt>
                <c:pt idx="38" formatCode="_(* #,##0.00_);_(* \(#,##0.00\);_(* &quot;-&quot;??_);_(@_)">
                  <c:v>57.67</c:v>
                </c:pt>
                <c:pt idx="43" formatCode="_(* #,##0.00_);_(* \(#,##0.00\);_(* &quot;-&quot;??_);_(@_)">
                  <c:v>59.75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FE-4F58-B1C1-B3855391596E}"/>
            </c:ext>
          </c:extLst>
        </c:ser>
        <c:ser>
          <c:idx val="3"/>
          <c:order val="3"/>
          <c:tx>
            <c:strRef>
              <c:f>'study base'!$J$5</c:f>
              <c:strCache>
                <c:ptCount val="1"/>
                <c:pt idx="0">
                  <c:v>City Of Grand Haven (Projected)</c:v>
                </c:pt>
              </c:strCache>
            </c:strRef>
          </c:tx>
          <c:invertIfNegative val="0"/>
          <c:val>
            <c:numRef>
              <c:f>'study base'!$J$7:$J$142</c:f>
              <c:numCache>
                <c:formatCode>General</c:formatCode>
                <c:ptCount val="136"/>
                <c:pt idx="19" formatCode="_(* #,##0.00_);_(* \(#,##0.00\);_(* &quot;-&quot;??_);_(@_)">
                  <c:v>50.150000000000006</c:v>
                </c:pt>
                <c:pt idx="21" formatCode="_(* #,##0.00_);_(* \(#,##0.00\);_(* &quot;-&quot;??_);_(@_)">
                  <c:v>51.66</c:v>
                </c:pt>
                <c:pt idx="26" formatCode="_(* #,##0.00_);_(* \(#,##0.00\);_(* &quot;-&quot;??_);_(@_)">
                  <c:v>54.239999999999995</c:v>
                </c:pt>
                <c:pt idx="28" formatCode="_(* #,##0.00_);_(* \(#,##0.00\);_(* &quot;-&quot;??_);_(@_)">
                  <c:v>55.879999999999995</c:v>
                </c:pt>
                <c:pt idx="40" formatCode="_(* #,##0.00_);_(* \(#,##0.00\);_(* &quot;-&quot;??_);_(@_)">
                  <c:v>58.570000000000007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FE-4F58-B1C1-B3855391596E}"/>
            </c:ext>
          </c:extLst>
        </c:ser>
        <c:ser>
          <c:idx val="4"/>
          <c:order val="4"/>
          <c:tx>
            <c:strRef>
              <c:f>'study base'!$K$5</c:f>
              <c:strCache>
                <c:ptCount val="1"/>
                <c:pt idx="0">
                  <c:v>Local Unit Plus 5 Years Projected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5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CFE-4F58-B1C1-B3855391596E}"/>
              </c:ext>
            </c:extLst>
          </c:dPt>
          <c:val>
            <c:numRef>
              <c:f>'study base'!$K$7:$K$142</c:f>
              <c:numCache>
                <c:formatCode>General</c:formatCode>
                <c:ptCount val="136"/>
                <c:pt idx="55" formatCode="_(* #,##0.00_);_(* \(#,##0.00\);_(* &quot;-&quot;??_);_(@_)">
                  <c:v>65.72</c:v>
                </c:pt>
                <c:pt idx="57" formatCode="_(* #,##0.00_);_(* \(#,##0.00\);_(* &quot;-&quot;??_);_(@_)">
                  <c:v>66.899999999999991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FE-4F58-B1C1-B3855391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012544"/>
        <c:axId val="158014080"/>
      </c:barChart>
      <c:lineChart>
        <c:grouping val="standard"/>
        <c:varyColors val="0"/>
        <c:ser>
          <c:idx val="5"/>
          <c:order val="5"/>
          <c:tx>
            <c:v>Total Combined Cost</c:v>
          </c:tx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none"/>
          </c:marker>
          <c:val>
            <c:numRef>
              <c:f>'study base'!$F$7:$F$141</c:f>
              <c:numCache>
                <c:formatCode>_(* #,##0.00_);_(* \(#,##0.00\);_(* "-"??_);_(@_)</c:formatCode>
                <c:ptCount val="135"/>
                <c:pt idx="1">
                  <c:v>21.299999999999997</c:v>
                </c:pt>
                <c:pt idx="2">
                  <c:v>22.1</c:v>
                </c:pt>
                <c:pt idx="3">
                  <c:v>23.36</c:v>
                </c:pt>
                <c:pt idx="4">
                  <c:v>24.42</c:v>
                </c:pt>
                <c:pt idx="5">
                  <c:v>31.67</c:v>
                </c:pt>
                <c:pt idx="6">
                  <c:v>32.549999999999997</c:v>
                </c:pt>
                <c:pt idx="7">
                  <c:v>33.53</c:v>
                </c:pt>
                <c:pt idx="8">
                  <c:v>35.299999999999997</c:v>
                </c:pt>
                <c:pt idx="9">
                  <c:v>36.35</c:v>
                </c:pt>
                <c:pt idx="10">
                  <c:v>37.08</c:v>
                </c:pt>
                <c:pt idx="11">
                  <c:v>40.549999999999997</c:v>
                </c:pt>
                <c:pt idx="12">
                  <c:v>44.480000000000004</c:v>
                </c:pt>
                <c:pt idx="13">
                  <c:v>46.32</c:v>
                </c:pt>
                <c:pt idx="14">
                  <c:v>47.04</c:v>
                </c:pt>
                <c:pt idx="15">
                  <c:v>47.68</c:v>
                </c:pt>
                <c:pt idx="16">
                  <c:v>49.3</c:v>
                </c:pt>
                <c:pt idx="17">
                  <c:v>49.65</c:v>
                </c:pt>
                <c:pt idx="18">
                  <c:v>50.04</c:v>
                </c:pt>
                <c:pt idx="19">
                  <c:v>50.150000000000006</c:v>
                </c:pt>
                <c:pt idx="20">
                  <c:v>51</c:v>
                </c:pt>
                <c:pt idx="21">
                  <c:v>51.66</c:v>
                </c:pt>
                <c:pt idx="22">
                  <c:v>51.769999999999996</c:v>
                </c:pt>
                <c:pt idx="23">
                  <c:v>52.97</c:v>
                </c:pt>
                <c:pt idx="24">
                  <c:v>52.989999999999995</c:v>
                </c:pt>
                <c:pt idx="25">
                  <c:v>53.08</c:v>
                </c:pt>
                <c:pt idx="26">
                  <c:v>54.239999999999995</c:v>
                </c:pt>
                <c:pt idx="27">
                  <c:v>54.789999999999992</c:v>
                </c:pt>
                <c:pt idx="28">
                  <c:v>55.879999999999995</c:v>
                </c:pt>
                <c:pt idx="29">
                  <c:v>56</c:v>
                </c:pt>
                <c:pt idx="30">
                  <c:v>56.1</c:v>
                </c:pt>
                <c:pt idx="31">
                  <c:v>56.33</c:v>
                </c:pt>
                <c:pt idx="32">
                  <c:v>56.449999999999996</c:v>
                </c:pt>
                <c:pt idx="33">
                  <c:v>57.11</c:v>
                </c:pt>
                <c:pt idx="34">
                  <c:v>57.34</c:v>
                </c:pt>
                <c:pt idx="35">
                  <c:v>57.429998111999993</c:v>
                </c:pt>
                <c:pt idx="36">
                  <c:v>57.489999999999995</c:v>
                </c:pt>
                <c:pt idx="37">
                  <c:v>57.550000000000004</c:v>
                </c:pt>
                <c:pt idx="38">
                  <c:v>57.67</c:v>
                </c:pt>
                <c:pt idx="39">
                  <c:v>58.230000000000004</c:v>
                </c:pt>
                <c:pt idx="40">
                  <c:v>58.570000000000007</c:v>
                </c:pt>
                <c:pt idx="41">
                  <c:v>58.7</c:v>
                </c:pt>
                <c:pt idx="42">
                  <c:v>59.31</c:v>
                </c:pt>
                <c:pt idx="43">
                  <c:v>59.75</c:v>
                </c:pt>
                <c:pt idx="44">
                  <c:v>60.14</c:v>
                </c:pt>
                <c:pt idx="45">
                  <c:v>60.44</c:v>
                </c:pt>
                <c:pt idx="46">
                  <c:v>61.01</c:v>
                </c:pt>
                <c:pt idx="47">
                  <c:v>61.53</c:v>
                </c:pt>
                <c:pt idx="48">
                  <c:v>61.53</c:v>
                </c:pt>
                <c:pt idx="49">
                  <c:v>61.67</c:v>
                </c:pt>
                <c:pt idx="50">
                  <c:v>63.31</c:v>
                </c:pt>
                <c:pt idx="51">
                  <c:v>63.39</c:v>
                </c:pt>
                <c:pt idx="52">
                  <c:v>63.49</c:v>
                </c:pt>
                <c:pt idx="53">
                  <c:v>64.59</c:v>
                </c:pt>
                <c:pt idx="54">
                  <c:v>65.11</c:v>
                </c:pt>
                <c:pt idx="55">
                  <c:v>65.72</c:v>
                </c:pt>
                <c:pt idx="56">
                  <c:v>66.52</c:v>
                </c:pt>
                <c:pt idx="57">
                  <c:v>66.899999999999991</c:v>
                </c:pt>
                <c:pt idx="58">
                  <c:v>67.260000000000005</c:v>
                </c:pt>
                <c:pt idx="59">
                  <c:v>67.599999999999994</c:v>
                </c:pt>
                <c:pt idx="60">
                  <c:v>68.319999999999993</c:v>
                </c:pt>
                <c:pt idx="61">
                  <c:v>68.959999999999994</c:v>
                </c:pt>
                <c:pt idx="62">
                  <c:v>70.5</c:v>
                </c:pt>
                <c:pt idx="63">
                  <c:v>70.66</c:v>
                </c:pt>
                <c:pt idx="64">
                  <c:v>71.14</c:v>
                </c:pt>
                <c:pt idx="65">
                  <c:v>71.53</c:v>
                </c:pt>
                <c:pt idx="66">
                  <c:v>71.820000000000007</c:v>
                </c:pt>
                <c:pt idx="67">
                  <c:v>72.98</c:v>
                </c:pt>
                <c:pt idx="68">
                  <c:v>73.02000000000001</c:v>
                </c:pt>
                <c:pt idx="69">
                  <c:v>73.240000000000009</c:v>
                </c:pt>
                <c:pt idx="70">
                  <c:v>73.259999999999991</c:v>
                </c:pt>
                <c:pt idx="71">
                  <c:v>73.72</c:v>
                </c:pt>
                <c:pt idx="72">
                  <c:v>73.88</c:v>
                </c:pt>
                <c:pt idx="73">
                  <c:v>74.400000000000006</c:v>
                </c:pt>
                <c:pt idx="74">
                  <c:v>74.52</c:v>
                </c:pt>
                <c:pt idx="75">
                  <c:v>74.59</c:v>
                </c:pt>
                <c:pt idx="76">
                  <c:v>74.650000000000006</c:v>
                </c:pt>
                <c:pt idx="77">
                  <c:v>75.240000000000009</c:v>
                </c:pt>
                <c:pt idx="78">
                  <c:v>75.31</c:v>
                </c:pt>
                <c:pt idx="79">
                  <c:v>75.36</c:v>
                </c:pt>
                <c:pt idx="80">
                  <c:v>75.89</c:v>
                </c:pt>
                <c:pt idx="81">
                  <c:v>76.02</c:v>
                </c:pt>
                <c:pt idx="82">
                  <c:v>76.06</c:v>
                </c:pt>
                <c:pt idx="83">
                  <c:v>77.84</c:v>
                </c:pt>
                <c:pt idx="84">
                  <c:v>78.319999999999993</c:v>
                </c:pt>
                <c:pt idx="85">
                  <c:v>78.52</c:v>
                </c:pt>
                <c:pt idx="86">
                  <c:v>78.58</c:v>
                </c:pt>
                <c:pt idx="87">
                  <c:v>79</c:v>
                </c:pt>
                <c:pt idx="88">
                  <c:v>79.3</c:v>
                </c:pt>
                <c:pt idx="89">
                  <c:v>79.36</c:v>
                </c:pt>
                <c:pt idx="90">
                  <c:v>81.210000000000008</c:v>
                </c:pt>
                <c:pt idx="91">
                  <c:v>81.84</c:v>
                </c:pt>
                <c:pt idx="92">
                  <c:v>83.53</c:v>
                </c:pt>
                <c:pt idx="93">
                  <c:v>83.740000000000009</c:v>
                </c:pt>
                <c:pt idx="94">
                  <c:v>84.93</c:v>
                </c:pt>
                <c:pt idx="95">
                  <c:v>85.65</c:v>
                </c:pt>
                <c:pt idx="96">
                  <c:v>85.72</c:v>
                </c:pt>
                <c:pt idx="97">
                  <c:v>85.75</c:v>
                </c:pt>
                <c:pt idx="98">
                  <c:v>86.09</c:v>
                </c:pt>
                <c:pt idx="99">
                  <c:v>86.19</c:v>
                </c:pt>
                <c:pt idx="100">
                  <c:v>86.45</c:v>
                </c:pt>
                <c:pt idx="101">
                  <c:v>86.86999999999999</c:v>
                </c:pt>
                <c:pt idx="102">
                  <c:v>87.109999999999985</c:v>
                </c:pt>
                <c:pt idx="103">
                  <c:v>87.95</c:v>
                </c:pt>
                <c:pt idx="104">
                  <c:v>88.2</c:v>
                </c:pt>
                <c:pt idx="105">
                  <c:v>89.32</c:v>
                </c:pt>
                <c:pt idx="106">
                  <c:v>90.16</c:v>
                </c:pt>
                <c:pt idx="107">
                  <c:v>90.210000000000008</c:v>
                </c:pt>
                <c:pt idx="108">
                  <c:v>92.94</c:v>
                </c:pt>
                <c:pt idx="109">
                  <c:v>93.23</c:v>
                </c:pt>
                <c:pt idx="110">
                  <c:v>94.27</c:v>
                </c:pt>
                <c:pt idx="111">
                  <c:v>94.37</c:v>
                </c:pt>
                <c:pt idx="112">
                  <c:v>95.65</c:v>
                </c:pt>
                <c:pt idx="113">
                  <c:v>95.69</c:v>
                </c:pt>
                <c:pt idx="114">
                  <c:v>98.1</c:v>
                </c:pt>
                <c:pt idx="115">
                  <c:v>98.62</c:v>
                </c:pt>
                <c:pt idx="116">
                  <c:v>100.5</c:v>
                </c:pt>
                <c:pt idx="117">
                  <c:v>105.38</c:v>
                </c:pt>
                <c:pt idx="118">
                  <c:v>106.91</c:v>
                </c:pt>
                <c:pt idx="119">
                  <c:v>107.14</c:v>
                </c:pt>
                <c:pt idx="120">
                  <c:v>107.89999999999999</c:v>
                </c:pt>
                <c:pt idx="121">
                  <c:v>107.98</c:v>
                </c:pt>
                <c:pt idx="122">
                  <c:v>108.29</c:v>
                </c:pt>
                <c:pt idx="123">
                  <c:v>110.3</c:v>
                </c:pt>
                <c:pt idx="124">
                  <c:v>111.71000000000001</c:v>
                </c:pt>
                <c:pt idx="125">
                  <c:v>111.9</c:v>
                </c:pt>
                <c:pt idx="126">
                  <c:v>112.86000000000001</c:v>
                </c:pt>
                <c:pt idx="127">
                  <c:v>115.6</c:v>
                </c:pt>
                <c:pt idx="128">
                  <c:v>118</c:v>
                </c:pt>
                <c:pt idx="129">
                  <c:v>124.46000000000001</c:v>
                </c:pt>
                <c:pt idx="130">
                  <c:v>130.88999999999999</c:v>
                </c:pt>
                <c:pt idx="131">
                  <c:v>133</c:v>
                </c:pt>
                <c:pt idx="132">
                  <c:v>137.63999999999999</c:v>
                </c:pt>
                <c:pt idx="133">
                  <c:v>153.59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FE-4F58-B1C1-B3855391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12544"/>
        <c:axId val="158014080"/>
      </c:lineChart>
      <c:catAx>
        <c:axId val="15801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300"/>
            </a:pPr>
            <a:endParaRPr lang="en-US"/>
          </a:p>
        </c:txPr>
        <c:crossAx val="158014080"/>
        <c:crosses val="autoZero"/>
        <c:auto val="1"/>
        <c:lblAlgn val="ctr"/>
        <c:lblOffset val="100"/>
        <c:noMultiLvlLbl val="0"/>
      </c:catAx>
      <c:valAx>
        <c:axId val="158014080"/>
        <c:scaling>
          <c:orientation val="minMax"/>
          <c:max val="16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58012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18899542031248"/>
          <c:y val="0.17315008161637835"/>
          <c:w val="0.67326319397499734"/>
          <c:h val="0.1465243102634099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25" l="0.25" r="0.25" t="0.25" header="0.25" footer="0.2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Water Monthly Cost - 6000 Gallons 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90826451571602E-2"/>
          <c:y val="9.7710584213740181E-2"/>
          <c:w val="0.87973401190704825"/>
          <c:h val="0.63672170531970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'study base'!$C$5</c:f>
              <c:strCache>
                <c:ptCount val="1"/>
                <c:pt idx="0">
                  <c:v> Water Monthly Cost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'study base'!$B$7:$B$142</c:f>
              <c:strCache>
                <c:ptCount val="134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  <c:pt idx="65">
                  <c:v>Village of Lake Orion</c:v>
                </c:pt>
                <c:pt idx="66">
                  <c:v>City of Evart</c:v>
                </c:pt>
                <c:pt idx="67">
                  <c:v>City of St. Louis</c:v>
                </c:pt>
                <c:pt idx="68">
                  <c:v>City of Richmond</c:v>
                </c:pt>
                <c:pt idx="69">
                  <c:v>City of Tawas City - email comments</c:v>
                </c:pt>
                <c:pt idx="70">
                  <c:v>City of North Muskegon 4/1/2016</c:v>
                </c:pt>
                <c:pt idx="71">
                  <c:v>City of Alpena</c:v>
                </c:pt>
                <c:pt idx="72">
                  <c:v>Oakland Charter Township</c:v>
                </c:pt>
                <c:pt idx="73">
                  <c:v>Village of Shelby</c:v>
                </c:pt>
                <c:pt idx="74">
                  <c:v>Village of Sparta</c:v>
                </c:pt>
                <c:pt idx="75">
                  <c:v>Village of Bellaire</c:v>
                </c:pt>
                <c:pt idx="76">
                  <c:v>Village of Brooklyn</c:v>
                </c:pt>
                <c:pt idx="77">
                  <c:v>City of Southfield</c:v>
                </c:pt>
                <c:pt idx="78">
                  <c:v>DeWitt Charter Township</c:v>
                </c:pt>
                <c:pt idx="79">
                  <c:v>City of Clare</c:v>
                </c:pt>
                <c:pt idx="80">
                  <c:v>City of Cedar Springs</c:v>
                </c:pt>
                <c:pt idx="81">
                  <c:v>Villae of Blissfield</c:v>
                </c:pt>
                <c:pt idx="82">
                  <c:v>City of Saline</c:v>
                </c:pt>
                <c:pt idx="83">
                  <c:v>City of Charlotte</c:v>
                </c:pt>
                <c:pt idx="84">
                  <c:v>City of Marshall</c:v>
                </c:pt>
                <c:pt idx="85">
                  <c:v>City of Rockford</c:v>
                </c:pt>
                <c:pt idx="86">
                  <c:v>City of Caro</c:v>
                </c:pt>
                <c:pt idx="87">
                  <c:v>Village of Barryton</c:v>
                </c:pt>
                <c:pt idx="88">
                  <c:v>City of Onaway</c:v>
                </c:pt>
                <c:pt idx="89">
                  <c:v>City of Frankfort</c:v>
                </c:pt>
                <c:pt idx="90">
                  <c:v>City of Birmingham</c:v>
                </c:pt>
                <c:pt idx="91">
                  <c:v>City of Rogers City</c:v>
                </c:pt>
                <c:pt idx="92">
                  <c:v>Village of Oxford</c:v>
                </c:pt>
                <c:pt idx="93">
                  <c:v>Village of Beverly Hills</c:v>
                </c:pt>
                <c:pt idx="94">
                  <c:v>City of Port Huron</c:v>
                </c:pt>
                <c:pt idx="95">
                  <c:v>City of Corunna</c:v>
                </c:pt>
                <c:pt idx="96">
                  <c:v>City of Jonesville</c:v>
                </c:pt>
                <c:pt idx="97">
                  <c:v>City of Crystal Falls</c:v>
                </c:pt>
                <c:pt idx="98">
                  <c:v>City of Clawson</c:v>
                </c:pt>
                <c:pt idx="99">
                  <c:v>City of Grand Blanc</c:v>
                </c:pt>
                <c:pt idx="100">
                  <c:v>City of Grand Ledge</c:v>
                </c:pt>
                <c:pt idx="101">
                  <c:v>Redford Township</c:v>
                </c:pt>
                <c:pt idx="102">
                  <c:v>City of Farmington</c:v>
                </c:pt>
                <c:pt idx="103">
                  <c:v>City of Dexter</c:v>
                </c:pt>
                <c:pt idx="104">
                  <c:v>China Township</c:v>
                </c:pt>
                <c:pt idx="105">
                  <c:v>City of Frankenmuth</c:v>
                </c:pt>
                <c:pt idx="106">
                  <c:v>Village of Grosse Pointe Shores</c:v>
                </c:pt>
                <c:pt idx="107">
                  <c:v>City of Flushing</c:v>
                </c:pt>
                <c:pt idx="108">
                  <c:v>City of Howell</c:v>
                </c:pt>
                <c:pt idx="109">
                  <c:v>Village of Elk Rapids</c:v>
                </c:pt>
                <c:pt idx="110">
                  <c:v>City of Scottville</c:v>
                </c:pt>
                <c:pt idx="111">
                  <c:v>Hartland Township</c:v>
                </c:pt>
                <c:pt idx="112">
                  <c:v>City of Pleasant Ridge</c:v>
                </c:pt>
                <c:pt idx="113">
                  <c:v>City of Burton</c:v>
                </c:pt>
                <c:pt idx="114">
                  <c:v>City of Mt. Morris</c:v>
                </c:pt>
                <c:pt idx="115">
                  <c:v>City of Sandusky</c:v>
                </c:pt>
                <c:pt idx="116">
                  <c:v>K. I Sawyer (Marquette County)</c:v>
                </c:pt>
                <c:pt idx="117">
                  <c:v>City of AuGres</c:v>
                </c:pt>
                <c:pt idx="118">
                  <c:v>City of Williamston</c:v>
                </c:pt>
                <c:pt idx="119">
                  <c:v>City of Chelsea - 3/4"</c:v>
                </c:pt>
                <c:pt idx="120">
                  <c:v>City of Mt Clemens</c:v>
                </c:pt>
                <c:pt idx="121">
                  <c:v>Village of Union City</c:v>
                </c:pt>
                <c:pt idx="122">
                  <c:v>City of Essexville</c:v>
                </c:pt>
                <c:pt idx="123">
                  <c:v>City of Sault Ste Marie</c:v>
                </c:pt>
                <c:pt idx="124">
                  <c:v>City of Davison</c:v>
                </c:pt>
                <c:pt idx="125">
                  <c:v>City of Chelsea - 1"</c:v>
                </c:pt>
                <c:pt idx="126">
                  <c:v>City of Fraser</c:v>
                </c:pt>
                <c:pt idx="127">
                  <c:v>City of Montrose</c:v>
                </c:pt>
                <c:pt idx="128">
                  <c:v>City of Norway</c:v>
                </c:pt>
                <c:pt idx="129">
                  <c:v>City of West Branch - offered help</c:v>
                </c:pt>
                <c:pt idx="130">
                  <c:v>City of Munising</c:v>
                </c:pt>
                <c:pt idx="131">
                  <c:v>Village of Ontonagon</c:v>
                </c:pt>
                <c:pt idx="132">
                  <c:v>City of Ishpeming</c:v>
                </c:pt>
                <c:pt idx="133">
                  <c:v>City of Negaunee</c:v>
                </c:pt>
              </c:strCache>
            </c:strRef>
          </c:cat>
          <c:val>
            <c:numRef>
              <c:f>'study base'!$C$7:$C$142</c:f>
              <c:numCache>
                <c:formatCode>_(* #,##0.00_);_(* \(#,##0.00\);_(* "-"??_);_(@_)</c:formatCode>
                <c:ptCount val="136"/>
                <c:pt idx="1">
                  <c:v>8.1</c:v>
                </c:pt>
                <c:pt idx="2">
                  <c:v>0</c:v>
                </c:pt>
                <c:pt idx="3">
                  <c:v>4.46</c:v>
                </c:pt>
                <c:pt idx="4">
                  <c:v>15.42</c:v>
                </c:pt>
                <c:pt idx="5">
                  <c:v>0</c:v>
                </c:pt>
                <c:pt idx="6">
                  <c:v>10.82</c:v>
                </c:pt>
                <c:pt idx="7">
                  <c:v>14.63</c:v>
                </c:pt>
                <c:pt idx="8">
                  <c:v>10.3</c:v>
                </c:pt>
                <c:pt idx="9">
                  <c:v>16.25</c:v>
                </c:pt>
                <c:pt idx="10">
                  <c:v>10.98</c:v>
                </c:pt>
                <c:pt idx="11">
                  <c:v>12.24</c:v>
                </c:pt>
                <c:pt idx="12">
                  <c:v>21.26</c:v>
                </c:pt>
                <c:pt idx="13">
                  <c:v>19.39</c:v>
                </c:pt>
                <c:pt idx="14">
                  <c:v>22.16</c:v>
                </c:pt>
                <c:pt idx="15">
                  <c:v>16.79</c:v>
                </c:pt>
                <c:pt idx="16">
                  <c:v>25.1</c:v>
                </c:pt>
                <c:pt idx="17">
                  <c:v>13.8</c:v>
                </c:pt>
                <c:pt idx="18">
                  <c:v>10.33</c:v>
                </c:pt>
                <c:pt idx="19">
                  <c:v>17.940000000000001</c:v>
                </c:pt>
                <c:pt idx="20">
                  <c:v>0</c:v>
                </c:pt>
                <c:pt idx="21">
                  <c:v>18.62</c:v>
                </c:pt>
                <c:pt idx="22">
                  <c:v>18.309999999999999</c:v>
                </c:pt>
                <c:pt idx="23">
                  <c:v>29.6</c:v>
                </c:pt>
                <c:pt idx="24">
                  <c:v>13.43</c:v>
                </c:pt>
                <c:pt idx="25">
                  <c:v>20.759999999999998</c:v>
                </c:pt>
                <c:pt idx="26">
                  <c:v>19.84</c:v>
                </c:pt>
                <c:pt idx="27">
                  <c:v>23.169999999999998</c:v>
                </c:pt>
                <c:pt idx="28">
                  <c:v>20.59</c:v>
                </c:pt>
                <c:pt idx="29">
                  <c:v>23</c:v>
                </c:pt>
                <c:pt idx="30">
                  <c:v>23.5</c:v>
                </c:pt>
                <c:pt idx="31">
                  <c:v>23.22</c:v>
                </c:pt>
                <c:pt idx="32">
                  <c:v>22.58</c:v>
                </c:pt>
                <c:pt idx="33">
                  <c:v>14.54</c:v>
                </c:pt>
                <c:pt idx="34">
                  <c:v>30.36</c:v>
                </c:pt>
                <c:pt idx="35">
                  <c:v>29.741665679999997</c:v>
                </c:pt>
                <c:pt idx="36">
                  <c:v>14.4</c:v>
                </c:pt>
                <c:pt idx="37">
                  <c:v>37.92</c:v>
                </c:pt>
                <c:pt idx="38">
                  <c:v>22.89</c:v>
                </c:pt>
                <c:pt idx="39">
                  <c:v>21.8</c:v>
                </c:pt>
                <c:pt idx="40">
                  <c:v>21.87</c:v>
                </c:pt>
                <c:pt idx="41">
                  <c:v>23.82</c:v>
                </c:pt>
                <c:pt idx="42">
                  <c:v>26.76</c:v>
                </c:pt>
                <c:pt idx="43">
                  <c:v>27.240000000000002</c:v>
                </c:pt>
                <c:pt idx="44">
                  <c:v>29.520000000000003</c:v>
                </c:pt>
                <c:pt idx="45">
                  <c:v>24.84</c:v>
                </c:pt>
                <c:pt idx="46">
                  <c:v>31.65</c:v>
                </c:pt>
                <c:pt idx="47">
                  <c:v>13.8</c:v>
                </c:pt>
                <c:pt idx="48">
                  <c:v>27.5</c:v>
                </c:pt>
                <c:pt idx="49">
                  <c:v>14.700000000000001</c:v>
                </c:pt>
                <c:pt idx="50">
                  <c:v>25.62</c:v>
                </c:pt>
                <c:pt idx="51">
                  <c:v>26.94</c:v>
                </c:pt>
                <c:pt idx="52">
                  <c:v>31.25</c:v>
                </c:pt>
                <c:pt idx="53">
                  <c:v>29.53</c:v>
                </c:pt>
                <c:pt idx="54">
                  <c:v>28.58</c:v>
                </c:pt>
                <c:pt idx="55">
                  <c:v>24.68</c:v>
                </c:pt>
                <c:pt idx="56">
                  <c:v>30.91</c:v>
                </c:pt>
                <c:pt idx="57">
                  <c:v>30.49</c:v>
                </c:pt>
                <c:pt idx="58">
                  <c:v>28.92</c:v>
                </c:pt>
                <c:pt idx="59">
                  <c:v>33.4</c:v>
                </c:pt>
                <c:pt idx="60">
                  <c:v>29.32</c:v>
                </c:pt>
                <c:pt idx="61">
                  <c:v>28.59</c:v>
                </c:pt>
                <c:pt idx="62">
                  <c:v>36.900000000000006</c:v>
                </c:pt>
                <c:pt idx="63">
                  <c:v>39.270000000000003</c:v>
                </c:pt>
                <c:pt idx="64">
                  <c:v>19.8</c:v>
                </c:pt>
                <c:pt idx="65">
                  <c:v>33.19</c:v>
                </c:pt>
                <c:pt idx="66">
                  <c:v>17.8</c:v>
                </c:pt>
                <c:pt idx="67">
                  <c:v>34.31</c:v>
                </c:pt>
                <c:pt idx="68">
                  <c:v>28.89</c:v>
                </c:pt>
                <c:pt idx="69">
                  <c:v>37.6</c:v>
                </c:pt>
                <c:pt idx="70">
                  <c:v>40.32</c:v>
                </c:pt>
                <c:pt idx="71">
                  <c:v>35.659999999999997</c:v>
                </c:pt>
                <c:pt idx="72">
                  <c:v>39.25</c:v>
                </c:pt>
                <c:pt idx="73">
                  <c:v>27.3</c:v>
                </c:pt>
                <c:pt idx="74">
                  <c:v>32.08</c:v>
                </c:pt>
                <c:pt idx="75">
                  <c:v>22.82</c:v>
                </c:pt>
                <c:pt idx="76">
                  <c:v>34.65</c:v>
                </c:pt>
                <c:pt idx="77">
                  <c:v>30.71</c:v>
                </c:pt>
                <c:pt idx="78">
                  <c:v>44.65</c:v>
                </c:pt>
                <c:pt idx="79">
                  <c:v>25.53</c:v>
                </c:pt>
                <c:pt idx="80">
                  <c:v>28.52</c:v>
                </c:pt>
                <c:pt idx="81">
                  <c:v>0</c:v>
                </c:pt>
                <c:pt idx="82">
                  <c:v>39.299999999999997</c:v>
                </c:pt>
                <c:pt idx="83">
                  <c:v>30.17</c:v>
                </c:pt>
                <c:pt idx="84">
                  <c:v>38.090000000000003</c:v>
                </c:pt>
                <c:pt idx="85">
                  <c:v>29.87</c:v>
                </c:pt>
                <c:pt idx="86">
                  <c:v>24.18</c:v>
                </c:pt>
                <c:pt idx="87">
                  <c:v>39.5</c:v>
                </c:pt>
                <c:pt idx="88">
                  <c:v>25.3</c:v>
                </c:pt>
                <c:pt idx="89">
                  <c:v>23.86</c:v>
                </c:pt>
                <c:pt idx="90">
                  <c:v>25.26</c:v>
                </c:pt>
                <c:pt idx="91">
                  <c:v>30.25</c:v>
                </c:pt>
                <c:pt idx="92">
                  <c:v>41.86</c:v>
                </c:pt>
                <c:pt idx="93">
                  <c:v>14.2</c:v>
                </c:pt>
                <c:pt idx="94">
                  <c:v>22.71</c:v>
                </c:pt>
                <c:pt idx="95">
                  <c:v>39.200000000000003</c:v>
                </c:pt>
                <c:pt idx="96">
                  <c:v>24.23</c:v>
                </c:pt>
                <c:pt idx="97">
                  <c:v>61</c:v>
                </c:pt>
                <c:pt idx="98">
                  <c:v>25.54</c:v>
                </c:pt>
                <c:pt idx="99">
                  <c:v>36</c:v>
                </c:pt>
                <c:pt idx="100">
                  <c:v>33.67</c:v>
                </c:pt>
                <c:pt idx="101">
                  <c:v>27.6</c:v>
                </c:pt>
                <c:pt idx="102">
                  <c:v>38.409999999999997</c:v>
                </c:pt>
                <c:pt idx="103">
                  <c:v>28.27</c:v>
                </c:pt>
                <c:pt idx="104">
                  <c:v>57</c:v>
                </c:pt>
                <c:pt idx="105">
                  <c:v>36.479999999999997</c:v>
                </c:pt>
                <c:pt idx="106">
                  <c:v>0</c:v>
                </c:pt>
                <c:pt idx="107">
                  <c:v>32.4</c:v>
                </c:pt>
                <c:pt idx="108">
                  <c:v>43.519999999999996</c:v>
                </c:pt>
                <c:pt idx="109">
                  <c:v>24.94</c:v>
                </c:pt>
                <c:pt idx="110">
                  <c:v>34.229999999999997</c:v>
                </c:pt>
                <c:pt idx="111">
                  <c:v>33.380000000000003</c:v>
                </c:pt>
                <c:pt idx="112">
                  <c:v>25.8</c:v>
                </c:pt>
                <c:pt idx="113">
                  <c:v>65.13</c:v>
                </c:pt>
                <c:pt idx="114">
                  <c:v>59.629999999999995</c:v>
                </c:pt>
                <c:pt idx="115">
                  <c:v>41.41</c:v>
                </c:pt>
                <c:pt idx="116">
                  <c:v>33.9</c:v>
                </c:pt>
                <c:pt idx="117">
                  <c:v>47.33</c:v>
                </c:pt>
                <c:pt idx="118">
                  <c:v>48.36</c:v>
                </c:pt>
                <c:pt idx="119">
                  <c:v>45.4</c:v>
                </c:pt>
                <c:pt idx="120">
                  <c:v>52.849999999999994</c:v>
                </c:pt>
                <c:pt idx="121">
                  <c:v>43.58</c:v>
                </c:pt>
                <c:pt idx="122">
                  <c:v>36.96</c:v>
                </c:pt>
                <c:pt idx="123">
                  <c:v>50.72</c:v>
                </c:pt>
                <c:pt idx="124">
                  <c:v>59.02</c:v>
                </c:pt>
                <c:pt idx="125">
                  <c:v>46.43</c:v>
                </c:pt>
                <c:pt idx="126">
                  <c:v>28.46</c:v>
                </c:pt>
                <c:pt idx="127">
                  <c:v>73.849999999999994</c:v>
                </c:pt>
                <c:pt idx="128">
                  <c:v>50</c:v>
                </c:pt>
                <c:pt idx="129">
                  <c:v>29.7</c:v>
                </c:pt>
                <c:pt idx="130">
                  <c:v>54.72</c:v>
                </c:pt>
                <c:pt idx="131">
                  <c:v>82</c:v>
                </c:pt>
                <c:pt idx="132">
                  <c:v>68.16</c:v>
                </c:pt>
                <c:pt idx="133">
                  <c:v>74.44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C-4418-B5F7-D9116A3694AF}"/>
            </c:ext>
          </c:extLst>
        </c:ser>
        <c:ser>
          <c:idx val="1"/>
          <c:order val="1"/>
          <c:tx>
            <c:strRef>
              <c:f>'study base'!$M$5</c:f>
              <c:strCache>
                <c:ptCount val="1"/>
                <c:pt idx="0">
                  <c:v>City of Grand Haven Water Only</c:v>
                </c:pt>
              </c:strCache>
            </c:strRef>
          </c:tx>
          <c:invertIfNegative val="0"/>
          <c:cat>
            <c:strRef>
              <c:f>'study base'!$B$7:$B$142</c:f>
              <c:strCache>
                <c:ptCount val="134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  <c:pt idx="65">
                  <c:v>Village of Lake Orion</c:v>
                </c:pt>
                <c:pt idx="66">
                  <c:v>City of Evart</c:v>
                </c:pt>
                <c:pt idx="67">
                  <c:v>City of St. Louis</c:v>
                </c:pt>
                <c:pt idx="68">
                  <c:v>City of Richmond</c:v>
                </c:pt>
                <c:pt idx="69">
                  <c:v>City of Tawas City - email comments</c:v>
                </c:pt>
                <c:pt idx="70">
                  <c:v>City of North Muskegon 4/1/2016</c:v>
                </c:pt>
                <c:pt idx="71">
                  <c:v>City of Alpena</c:v>
                </c:pt>
                <c:pt idx="72">
                  <c:v>Oakland Charter Township</c:v>
                </c:pt>
                <c:pt idx="73">
                  <c:v>Village of Shelby</c:v>
                </c:pt>
                <c:pt idx="74">
                  <c:v>Village of Sparta</c:v>
                </c:pt>
                <c:pt idx="75">
                  <c:v>Village of Bellaire</c:v>
                </c:pt>
                <c:pt idx="76">
                  <c:v>Village of Brooklyn</c:v>
                </c:pt>
                <c:pt idx="77">
                  <c:v>City of Southfield</c:v>
                </c:pt>
                <c:pt idx="78">
                  <c:v>DeWitt Charter Township</c:v>
                </c:pt>
                <c:pt idx="79">
                  <c:v>City of Clare</c:v>
                </c:pt>
                <c:pt idx="80">
                  <c:v>City of Cedar Springs</c:v>
                </c:pt>
                <c:pt idx="81">
                  <c:v>Villae of Blissfield</c:v>
                </c:pt>
                <c:pt idx="82">
                  <c:v>City of Saline</c:v>
                </c:pt>
                <c:pt idx="83">
                  <c:v>City of Charlotte</c:v>
                </c:pt>
                <c:pt idx="84">
                  <c:v>City of Marshall</c:v>
                </c:pt>
                <c:pt idx="85">
                  <c:v>City of Rockford</c:v>
                </c:pt>
                <c:pt idx="86">
                  <c:v>City of Caro</c:v>
                </c:pt>
                <c:pt idx="87">
                  <c:v>Village of Barryton</c:v>
                </c:pt>
                <c:pt idx="88">
                  <c:v>City of Onaway</c:v>
                </c:pt>
                <c:pt idx="89">
                  <c:v>City of Frankfort</c:v>
                </c:pt>
                <c:pt idx="90">
                  <c:v>City of Birmingham</c:v>
                </c:pt>
                <c:pt idx="91">
                  <c:v>City of Rogers City</c:v>
                </c:pt>
                <c:pt idx="92">
                  <c:v>Village of Oxford</c:v>
                </c:pt>
                <c:pt idx="93">
                  <c:v>Village of Beverly Hills</c:v>
                </c:pt>
                <c:pt idx="94">
                  <c:v>City of Port Huron</c:v>
                </c:pt>
                <c:pt idx="95">
                  <c:v>City of Corunna</c:v>
                </c:pt>
                <c:pt idx="96">
                  <c:v>City of Jonesville</c:v>
                </c:pt>
                <c:pt idx="97">
                  <c:v>City of Crystal Falls</c:v>
                </c:pt>
                <c:pt idx="98">
                  <c:v>City of Clawson</c:v>
                </c:pt>
                <c:pt idx="99">
                  <c:v>City of Grand Blanc</c:v>
                </c:pt>
                <c:pt idx="100">
                  <c:v>City of Grand Ledge</c:v>
                </c:pt>
                <c:pt idx="101">
                  <c:v>Redford Township</c:v>
                </c:pt>
                <c:pt idx="102">
                  <c:v>City of Farmington</c:v>
                </c:pt>
                <c:pt idx="103">
                  <c:v>City of Dexter</c:v>
                </c:pt>
                <c:pt idx="104">
                  <c:v>China Township</c:v>
                </c:pt>
                <c:pt idx="105">
                  <c:v>City of Frankenmuth</c:v>
                </c:pt>
                <c:pt idx="106">
                  <c:v>Village of Grosse Pointe Shores</c:v>
                </c:pt>
                <c:pt idx="107">
                  <c:v>City of Flushing</c:v>
                </c:pt>
                <c:pt idx="108">
                  <c:v>City of Howell</c:v>
                </c:pt>
                <c:pt idx="109">
                  <c:v>Village of Elk Rapids</c:v>
                </c:pt>
                <c:pt idx="110">
                  <c:v>City of Scottville</c:v>
                </c:pt>
                <c:pt idx="111">
                  <c:v>Hartland Township</c:v>
                </c:pt>
                <c:pt idx="112">
                  <c:v>City of Pleasant Ridge</c:v>
                </c:pt>
                <c:pt idx="113">
                  <c:v>City of Burton</c:v>
                </c:pt>
                <c:pt idx="114">
                  <c:v>City of Mt. Morris</c:v>
                </c:pt>
                <c:pt idx="115">
                  <c:v>City of Sandusky</c:v>
                </c:pt>
                <c:pt idx="116">
                  <c:v>K. I Sawyer (Marquette County)</c:v>
                </c:pt>
                <c:pt idx="117">
                  <c:v>City of AuGres</c:v>
                </c:pt>
                <c:pt idx="118">
                  <c:v>City of Williamston</c:v>
                </c:pt>
                <c:pt idx="119">
                  <c:v>City of Chelsea - 3/4"</c:v>
                </c:pt>
                <c:pt idx="120">
                  <c:v>City of Mt Clemens</c:v>
                </c:pt>
                <c:pt idx="121">
                  <c:v>Village of Union City</c:v>
                </c:pt>
                <c:pt idx="122">
                  <c:v>City of Essexville</c:v>
                </c:pt>
                <c:pt idx="123">
                  <c:v>City of Sault Ste Marie</c:v>
                </c:pt>
                <c:pt idx="124">
                  <c:v>City of Davison</c:v>
                </c:pt>
                <c:pt idx="125">
                  <c:v>City of Chelsea - 1"</c:v>
                </c:pt>
                <c:pt idx="126">
                  <c:v>City of Fraser</c:v>
                </c:pt>
                <c:pt idx="127">
                  <c:v>City of Montrose</c:v>
                </c:pt>
                <c:pt idx="128">
                  <c:v>City of Norway</c:v>
                </c:pt>
                <c:pt idx="129">
                  <c:v>City of West Branch - offered help</c:v>
                </c:pt>
                <c:pt idx="130">
                  <c:v>City of Munising</c:v>
                </c:pt>
                <c:pt idx="131">
                  <c:v>Village of Ontonagon</c:v>
                </c:pt>
                <c:pt idx="132">
                  <c:v>City of Ishpeming</c:v>
                </c:pt>
                <c:pt idx="133">
                  <c:v>City of Negaunee</c:v>
                </c:pt>
              </c:strCache>
            </c:strRef>
          </c:cat>
          <c:val>
            <c:numRef>
              <c:f>'study base'!$M$7:$M$142</c:f>
              <c:numCache>
                <c:formatCode>General</c:formatCode>
                <c:ptCount val="136"/>
                <c:pt idx="15" formatCode="_(* #,##0.00_);_(* \(#,##0.00\);_(* &quot;-&quot;??_);_(@_)">
                  <c:v>16.79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C-4418-B5F7-D9116A3694AF}"/>
            </c:ext>
          </c:extLst>
        </c:ser>
        <c:ser>
          <c:idx val="2"/>
          <c:order val="2"/>
          <c:tx>
            <c:strRef>
              <c:f>'study base'!$P$5</c:f>
              <c:strCache>
                <c:ptCount val="1"/>
                <c:pt idx="0">
                  <c:v>Tri Cities Local Gov'ts Water Only</c:v>
                </c:pt>
              </c:strCache>
            </c:strRef>
          </c:tx>
          <c:invertIfNegative val="0"/>
          <c:cat>
            <c:strRef>
              <c:f>'study base'!$B$7:$B$142</c:f>
              <c:strCache>
                <c:ptCount val="134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  <c:pt idx="65">
                  <c:v>Village of Lake Orion</c:v>
                </c:pt>
                <c:pt idx="66">
                  <c:v>City of Evart</c:v>
                </c:pt>
                <c:pt idx="67">
                  <c:v>City of St. Louis</c:v>
                </c:pt>
                <c:pt idx="68">
                  <c:v>City of Richmond</c:v>
                </c:pt>
                <c:pt idx="69">
                  <c:v>City of Tawas City - email comments</c:v>
                </c:pt>
                <c:pt idx="70">
                  <c:v>City of North Muskegon 4/1/2016</c:v>
                </c:pt>
                <c:pt idx="71">
                  <c:v>City of Alpena</c:v>
                </c:pt>
                <c:pt idx="72">
                  <c:v>Oakland Charter Township</c:v>
                </c:pt>
                <c:pt idx="73">
                  <c:v>Village of Shelby</c:v>
                </c:pt>
                <c:pt idx="74">
                  <c:v>Village of Sparta</c:v>
                </c:pt>
                <c:pt idx="75">
                  <c:v>Village of Bellaire</c:v>
                </c:pt>
                <c:pt idx="76">
                  <c:v>Village of Brooklyn</c:v>
                </c:pt>
                <c:pt idx="77">
                  <c:v>City of Southfield</c:v>
                </c:pt>
                <c:pt idx="78">
                  <c:v>DeWitt Charter Township</c:v>
                </c:pt>
                <c:pt idx="79">
                  <c:v>City of Clare</c:v>
                </c:pt>
                <c:pt idx="80">
                  <c:v>City of Cedar Springs</c:v>
                </c:pt>
                <c:pt idx="81">
                  <c:v>Villae of Blissfield</c:v>
                </c:pt>
                <c:pt idx="82">
                  <c:v>City of Saline</c:v>
                </c:pt>
                <c:pt idx="83">
                  <c:v>City of Charlotte</c:v>
                </c:pt>
                <c:pt idx="84">
                  <c:v>City of Marshall</c:v>
                </c:pt>
                <c:pt idx="85">
                  <c:v>City of Rockford</c:v>
                </c:pt>
                <c:pt idx="86">
                  <c:v>City of Caro</c:v>
                </c:pt>
                <c:pt idx="87">
                  <c:v>Village of Barryton</c:v>
                </c:pt>
                <c:pt idx="88">
                  <c:v>City of Onaway</c:v>
                </c:pt>
                <c:pt idx="89">
                  <c:v>City of Frankfort</c:v>
                </c:pt>
                <c:pt idx="90">
                  <c:v>City of Birmingham</c:v>
                </c:pt>
                <c:pt idx="91">
                  <c:v>City of Rogers City</c:v>
                </c:pt>
                <c:pt idx="92">
                  <c:v>Village of Oxford</c:v>
                </c:pt>
                <c:pt idx="93">
                  <c:v>Village of Beverly Hills</c:v>
                </c:pt>
                <c:pt idx="94">
                  <c:v>City of Port Huron</c:v>
                </c:pt>
                <c:pt idx="95">
                  <c:v>City of Corunna</c:v>
                </c:pt>
                <c:pt idx="96">
                  <c:v>City of Jonesville</c:v>
                </c:pt>
                <c:pt idx="97">
                  <c:v>City of Crystal Falls</c:v>
                </c:pt>
                <c:pt idx="98">
                  <c:v>City of Clawson</c:v>
                </c:pt>
                <c:pt idx="99">
                  <c:v>City of Grand Blanc</c:v>
                </c:pt>
                <c:pt idx="100">
                  <c:v>City of Grand Ledge</c:v>
                </c:pt>
                <c:pt idx="101">
                  <c:v>Redford Township</c:v>
                </c:pt>
                <c:pt idx="102">
                  <c:v>City of Farmington</c:v>
                </c:pt>
                <c:pt idx="103">
                  <c:v>City of Dexter</c:v>
                </c:pt>
                <c:pt idx="104">
                  <c:v>China Township</c:v>
                </c:pt>
                <c:pt idx="105">
                  <c:v>City of Frankenmuth</c:v>
                </c:pt>
                <c:pt idx="106">
                  <c:v>Village of Grosse Pointe Shores</c:v>
                </c:pt>
                <c:pt idx="107">
                  <c:v>City of Flushing</c:v>
                </c:pt>
                <c:pt idx="108">
                  <c:v>City of Howell</c:v>
                </c:pt>
                <c:pt idx="109">
                  <c:v>Village of Elk Rapids</c:v>
                </c:pt>
                <c:pt idx="110">
                  <c:v>City of Scottville</c:v>
                </c:pt>
                <c:pt idx="111">
                  <c:v>Hartland Township</c:v>
                </c:pt>
                <c:pt idx="112">
                  <c:v>City of Pleasant Ridge</c:v>
                </c:pt>
                <c:pt idx="113">
                  <c:v>City of Burton</c:v>
                </c:pt>
                <c:pt idx="114">
                  <c:v>City of Mt. Morris</c:v>
                </c:pt>
                <c:pt idx="115">
                  <c:v>City of Sandusky</c:v>
                </c:pt>
                <c:pt idx="116">
                  <c:v>K. I Sawyer (Marquette County)</c:v>
                </c:pt>
                <c:pt idx="117">
                  <c:v>City of AuGres</c:v>
                </c:pt>
                <c:pt idx="118">
                  <c:v>City of Williamston</c:v>
                </c:pt>
                <c:pt idx="119">
                  <c:v>City of Chelsea - 3/4"</c:v>
                </c:pt>
                <c:pt idx="120">
                  <c:v>City of Mt Clemens</c:v>
                </c:pt>
                <c:pt idx="121">
                  <c:v>Village of Union City</c:v>
                </c:pt>
                <c:pt idx="122">
                  <c:v>City of Essexville</c:v>
                </c:pt>
                <c:pt idx="123">
                  <c:v>City of Sault Ste Marie</c:v>
                </c:pt>
                <c:pt idx="124">
                  <c:v>City of Davison</c:v>
                </c:pt>
                <c:pt idx="125">
                  <c:v>City of Chelsea - 1"</c:v>
                </c:pt>
                <c:pt idx="126">
                  <c:v>City of Fraser</c:v>
                </c:pt>
                <c:pt idx="127">
                  <c:v>City of Montrose</c:v>
                </c:pt>
                <c:pt idx="128">
                  <c:v>City of Norway</c:v>
                </c:pt>
                <c:pt idx="129">
                  <c:v>City of West Branch - offered help</c:v>
                </c:pt>
                <c:pt idx="130">
                  <c:v>City of Munising</c:v>
                </c:pt>
                <c:pt idx="131">
                  <c:v>Village of Ontonagon</c:v>
                </c:pt>
                <c:pt idx="132">
                  <c:v>City of Ishpeming</c:v>
                </c:pt>
                <c:pt idx="133">
                  <c:v>City of Negaunee</c:v>
                </c:pt>
              </c:strCache>
            </c:strRef>
          </c:cat>
          <c:val>
            <c:numRef>
              <c:f>'study base'!$P$7:$P$142</c:f>
              <c:numCache>
                <c:formatCode>General</c:formatCode>
                <c:ptCount val="136"/>
                <c:pt idx="12" formatCode="_(* #,##0.00_);_(* \(#,##0.00\);_(* &quot;-&quot;??_);_(@_)">
                  <c:v>21.26</c:v>
                </c:pt>
                <c:pt idx="31" formatCode="_(* #,##0.00_);_(* \(#,##0.00\);_(* &quot;-&quot;??_);_(@_)">
                  <c:v>23.22</c:v>
                </c:pt>
                <c:pt idx="38" formatCode="_(* #,##0.00_);_(* \(#,##0.00\);_(* &quot;-&quot;??_);_(@_)">
                  <c:v>22.89</c:v>
                </c:pt>
                <c:pt idx="43" formatCode="_(* #,##0.00_);_(* \(#,##0.00\);_(* &quot;-&quot;??_);_(@_)">
                  <c:v>27.240000000000002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C-4418-B5F7-D9116A3694AF}"/>
            </c:ext>
          </c:extLst>
        </c:ser>
        <c:ser>
          <c:idx val="3"/>
          <c:order val="3"/>
          <c:tx>
            <c:strRef>
              <c:f>'study base'!$N$5</c:f>
              <c:strCache>
                <c:ptCount val="1"/>
                <c:pt idx="0">
                  <c:v>City of Grand Haven Water Only (Projected)</c:v>
                </c:pt>
              </c:strCache>
            </c:strRef>
          </c:tx>
          <c:invertIfNegative val="0"/>
          <c:val>
            <c:numRef>
              <c:f>'study base'!$N$7:$N$142</c:f>
              <c:numCache>
                <c:formatCode>General</c:formatCode>
                <c:ptCount val="136"/>
                <c:pt idx="19" formatCode="_(* #,##0.00_);_(* \(#,##0.00\);_(* &quot;-&quot;??_);_(@_)">
                  <c:v>17.940000000000001</c:v>
                </c:pt>
                <c:pt idx="21" formatCode="_(* #,##0.00_);_(* \(#,##0.00\);_(* &quot;-&quot;??_);_(@_)">
                  <c:v>18.62</c:v>
                </c:pt>
                <c:pt idx="26" formatCode="_(* #,##0.00_);_(* \(#,##0.00\);_(* &quot;-&quot;??_);_(@_)">
                  <c:v>19.84</c:v>
                </c:pt>
                <c:pt idx="28" formatCode="_(* #,##0.00_);_(* \(#,##0.00\);_(* &quot;-&quot;??_);_(@_)">
                  <c:v>20.59</c:v>
                </c:pt>
                <c:pt idx="40" formatCode="_(* #,##0.00_);_(* \(#,##0.00\);_(* &quot;-&quot;??_);_(@_)">
                  <c:v>21.87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1C-4418-B5F7-D9116A3694AF}"/>
            </c:ext>
          </c:extLst>
        </c:ser>
        <c:ser>
          <c:idx val="4"/>
          <c:order val="4"/>
          <c:tx>
            <c:strRef>
              <c:f>'study base'!$O$5</c:f>
              <c:strCache>
                <c:ptCount val="1"/>
                <c:pt idx="0">
                  <c:v>Local Unit Plus 5 Years Water Projected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Pt>
            <c:idx val="5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FB1C-4418-B5F7-D9116A3694AF}"/>
              </c:ext>
            </c:extLst>
          </c:dPt>
          <c:val>
            <c:numRef>
              <c:f>'study base'!$O$7:$O$142</c:f>
              <c:numCache>
                <c:formatCode>General</c:formatCode>
                <c:ptCount val="136"/>
                <c:pt idx="55" formatCode="_(* #,##0.00_);_(* \(#,##0.00\);_(* &quot;-&quot;??_);_(@_)">
                  <c:v>24.68</c:v>
                </c:pt>
                <c:pt idx="57" formatCode="_(* #,##0.00_);_(* \(#,##0.00\);_(* &quot;-&quot;??_);_(@_)">
                  <c:v>30.49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1C-4418-B5F7-D9116A369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640384"/>
        <c:axId val="158646272"/>
      </c:barChart>
      <c:catAx>
        <c:axId val="15864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300"/>
            </a:pPr>
            <a:endParaRPr lang="en-US"/>
          </a:p>
        </c:txPr>
        <c:crossAx val="158646272"/>
        <c:crosses val="autoZero"/>
        <c:auto val="1"/>
        <c:lblAlgn val="ctr"/>
        <c:lblOffset val="100"/>
        <c:noMultiLvlLbl val="0"/>
      </c:catAx>
      <c:valAx>
        <c:axId val="1586462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58640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066806945383339"/>
          <c:y val="0.11180886085058191"/>
          <c:w val="0.7347862653806726"/>
          <c:h val="0.1104131912539788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Sewer Monthly Cost - 6000 Gallons Each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90826451571602E-2"/>
          <c:y val="0.10884489423939731"/>
          <c:w val="0.87973401190704825"/>
          <c:h val="0.708874389517583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'study base'!$D$5</c:f>
              <c:strCache>
                <c:ptCount val="1"/>
                <c:pt idx="0">
                  <c:v> Sewer Monthly Cost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'study base'!$B$7:$B$142</c:f>
              <c:strCache>
                <c:ptCount val="134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  <c:pt idx="65">
                  <c:v>Village of Lake Orion</c:v>
                </c:pt>
                <c:pt idx="66">
                  <c:v>City of Evart</c:v>
                </c:pt>
                <c:pt idx="67">
                  <c:v>City of St. Louis</c:v>
                </c:pt>
                <c:pt idx="68">
                  <c:v>City of Richmond</c:v>
                </c:pt>
                <c:pt idx="69">
                  <c:v>City of Tawas City - email comments</c:v>
                </c:pt>
                <c:pt idx="70">
                  <c:v>City of North Muskegon 4/1/2016</c:v>
                </c:pt>
                <c:pt idx="71">
                  <c:v>City of Alpena</c:v>
                </c:pt>
                <c:pt idx="72">
                  <c:v>Oakland Charter Township</c:v>
                </c:pt>
                <c:pt idx="73">
                  <c:v>Village of Shelby</c:v>
                </c:pt>
                <c:pt idx="74">
                  <c:v>Village of Sparta</c:v>
                </c:pt>
                <c:pt idx="75">
                  <c:v>Village of Bellaire</c:v>
                </c:pt>
                <c:pt idx="76">
                  <c:v>Village of Brooklyn</c:v>
                </c:pt>
                <c:pt idx="77">
                  <c:v>City of Southfield</c:v>
                </c:pt>
                <c:pt idx="78">
                  <c:v>DeWitt Charter Township</c:v>
                </c:pt>
                <c:pt idx="79">
                  <c:v>City of Clare</c:v>
                </c:pt>
                <c:pt idx="80">
                  <c:v>City of Cedar Springs</c:v>
                </c:pt>
                <c:pt idx="81">
                  <c:v>Villae of Blissfield</c:v>
                </c:pt>
                <c:pt idx="82">
                  <c:v>City of Saline</c:v>
                </c:pt>
                <c:pt idx="83">
                  <c:v>City of Charlotte</c:v>
                </c:pt>
                <c:pt idx="84">
                  <c:v>City of Marshall</c:v>
                </c:pt>
                <c:pt idx="85">
                  <c:v>City of Rockford</c:v>
                </c:pt>
                <c:pt idx="86">
                  <c:v>City of Caro</c:v>
                </c:pt>
                <c:pt idx="87">
                  <c:v>Village of Barryton</c:v>
                </c:pt>
                <c:pt idx="88">
                  <c:v>City of Onaway</c:v>
                </c:pt>
                <c:pt idx="89">
                  <c:v>City of Frankfort</c:v>
                </c:pt>
                <c:pt idx="90">
                  <c:v>City of Birmingham</c:v>
                </c:pt>
                <c:pt idx="91">
                  <c:v>City of Rogers City</c:v>
                </c:pt>
                <c:pt idx="92">
                  <c:v>Village of Oxford</c:v>
                </c:pt>
                <c:pt idx="93">
                  <c:v>Village of Beverly Hills</c:v>
                </c:pt>
                <c:pt idx="94">
                  <c:v>City of Port Huron</c:v>
                </c:pt>
                <c:pt idx="95">
                  <c:v>City of Corunna</c:v>
                </c:pt>
                <c:pt idx="96">
                  <c:v>City of Jonesville</c:v>
                </c:pt>
                <c:pt idx="97">
                  <c:v>City of Crystal Falls</c:v>
                </c:pt>
                <c:pt idx="98">
                  <c:v>City of Clawson</c:v>
                </c:pt>
                <c:pt idx="99">
                  <c:v>City of Grand Blanc</c:v>
                </c:pt>
                <c:pt idx="100">
                  <c:v>City of Grand Ledge</c:v>
                </c:pt>
                <c:pt idx="101">
                  <c:v>Redford Township</c:v>
                </c:pt>
                <c:pt idx="102">
                  <c:v>City of Farmington</c:v>
                </c:pt>
                <c:pt idx="103">
                  <c:v>City of Dexter</c:v>
                </c:pt>
                <c:pt idx="104">
                  <c:v>China Township</c:v>
                </c:pt>
                <c:pt idx="105">
                  <c:v>City of Frankenmuth</c:v>
                </c:pt>
                <c:pt idx="106">
                  <c:v>Village of Grosse Pointe Shores</c:v>
                </c:pt>
                <c:pt idx="107">
                  <c:v>City of Flushing</c:v>
                </c:pt>
                <c:pt idx="108">
                  <c:v>City of Howell</c:v>
                </c:pt>
                <c:pt idx="109">
                  <c:v>Village of Elk Rapids</c:v>
                </c:pt>
                <c:pt idx="110">
                  <c:v>City of Scottville</c:v>
                </c:pt>
                <c:pt idx="111">
                  <c:v>Hartland Township</c:v>
                </c:pt>
                <c:pt idx="112">
                  <c:v>City of Pleasant Ridge</c:v>
                </c:pt>
                <c:pt idx="113">
                  <c:v>City of Burton</c:v>
                </c:pt>
                <c:pt idx="114">
                  <c:v>City of Mt. Morris</c:v>
                </c:pt>
                <c:pt idx="115">
                  <c:v>City of Sandusky</c:v>
                </c:pt>
                <c:pt idx="116">
                  <c:v>K. I Sawyer (Marquette County)</c:v>
                </c:pt>
                <c:pt idx="117">
                  <c:v>City of AuGres</c:v>
                </c:pt>
                <c:pt idx="118">
                  <c:v>City of Williamston</c:v>
                </c:pt>
                <c:pt idx="119">
                  <c:v>City of Chelsea - 3/4"</c:v>
                </c:pt>
                <c:pt idx="120">
                  <c:v>City of Mt Clemens</c:v>
                </c:pt>
                <c:pt idx="121">
                  <c:v>Village of Union City</c:v>
                </c:pt>
                <c:pt idx="122">
                  <c:v>City of Essexville</c:v>
                </c:pt>
                <c:pt idx="123">
                  <c:v>City of Sault Ste Marie</c:v>
                </c:pt>
                <c:pt idx="124">
                  <c:v>City of Davison</c:v>
                </c:pt>
                <c:pt idx="125">
                  <c:v>City of Chelsea - 1"</c:v>
                </c:pt>
                <c:pt idx="126">
                  <c:v>City of Fraser</c:v>
                </c:pt>
                <c:pt idx="127">
                  <c:v>City of Montrose</c:v>
                </c:pt>
                <c:pt idx="128">
                  <c:v>City of Norway</c:v>
                </c:pt>
                <c:pt idx="129">
                  <c:v>City of West Branch - offered help</c:v>
                </c:pt>
                <c:pt idx="130">
                  <c:v>City of Munising</c:v>
                </c:pt>
                <c:pt idx="131">
                  <c:v>Village of Ontonagon</c:v>
                </c:pt>
                <c:pt idx="132">
                  <c:v>City of Ishpeming</c:v>
                </c:pt>
                <c:pt idx="133">
                  <c:v>City of Negaunee</c:v>
                </c:pt>
              </c:strCache>
            </c:strRef>
          </c:cat>
          <c:val>
            <c:numRef>
              <c:f>'study base'!$D$7:$D$142</c:f>
              <c:numCache>
                <c:formatCode>_(* #,##0.00_);_(* \(#,##0.00\);_(* "-"??_);_(@_)</c:formatCode>
                <c:ptCount val="136"/>
                <c:pt idx="1">
                  <c:v>13.2</c:v>
                </c:pt>
                <c:pt idx="2">
                  <c:v>22.1</c:v>
                </c:pt>
                <c:pt idx="3">
                  <c:v>18.899999999999999</c:v>
                </c:pt>
                <c:pt idx="4">
                  <c:v>9</c:v>
                </c:pt>
                <c:pt idx="5">
                  <c:v>31.67</c:v>
                </c:pt>
                <c:pt idx="6">
                  <c:v>21.73</c:v>
                </c:pt>
                <c:pt idx="7">
                  <c:v>18.899999999999999</c:v>
                </c:pt>
                <c:pt idx="8">
                  <c:v>25</c:v>
                </c:pt>
                <c:pt idx="9">
                  <c:v>20.100000000000001</c:v>
                </c:pt>
                <c:pt idx="10">
                  <c:v>26.099999999999998</c:v>
                </c:pt>
                <c:pt idx="11">
                  <c:v>28.31</c:v>
                </c:pt>
                <c:pt idx="12">
                  <c:v>23.22</c:v>
                </c:pt>
                <c:pt idx="13">
                  <c:v>26.93</c:v>
                </c:pt>
                <c:pt idx="14">
                  <c:v>24.88</c:v>
                </c:pt>
                <c:pt idx="15">
                  <c:v>30.89</c:v>
                </c:pt>
                <c:pt idx="16">
                  <c:v>24.2</c:v>
                </c:pt>
                <c:pt idx="17">
                  <c:v>21</c:v>
                </c:pt>
                <c:pt idx="18">
                  <c:v>39.71</c:v>
                </c:pt>
                <c:pt idx="19">
                  <c:v>32.21</c:v>
                </c:pt>
                <c:pt idx="20">
                  <c:v>51</c:v>
                </c:pt>
                <c:pt idx="21">
                  <c:v>33.04</c:v>
                </c:pt>
                <c:pt idx="22">
                  <c:v>33.46</c:v>
                </c:pt>
                <c:pt idx="23">
                  <c:v>23.37</c:v>
                </c:pt>
                <c:pt idx="24">
                  <c:v>30.56</c:v>
                </c:pt>
                <c:pt idx="25">
                  <c:v>32.32</c:v>
                </c:pt>
                <c:pt idx="26">
                  <c:v>34.4</c:v>
                </c:pt>
                <c:pt idx="27">
                  <c:v>31.619999999999997</c:v>
                </c:pt>
                <c:pt idx="28">
                  <c:v>35.29</c:v>
                </c:pt>
                <c:pt idx="29">
                  <c:v>33</c:v>
                </c:pt>
                <c:pt idx="30">
                  <c:v>32.6</c:v>
                </c:pt>
                <c:pt idx="31">
                  <c:v>33.11</c:v>
                </c:pt>
                <c:pt idx="32">
                  <c:v>29.07</c:v>
                </c:pt>
                <c:pt idx="33">
                  <c:v>42.57</c:v>
                </c:pt>
                <c:pt idx="34">
                  <c:v>26.98</c:v>
                </c:pt>
                <c:pt idx="35">
                  <c:v>27.688332431999999</c:v>
                </c:pt>
                <c:pt idx="36">
                  <c:v>20.22</c:v>
                </c:pt>
                <c:pt idx="37">
                  <c:v>19.630000000000003</c:v>
                </c:pt>
                <c:pt idx="38">
                  <c:v>34.78</c:v>
                </c:pt>
                <c:pt idx="39">
                  <c:v>36.43</c:v>
                </c:pt>
                <c:pt idx="40">
                  <c:v>36.700000000000003</c:v>
                </c:pt>
                <c:pt idx="41">
                  <c:v>34.880000000000003</c:v>
                </c:pt>
                <c:pt idx="42">
                  <c:v>32.549999999999997</c:v>
                </c:pt>
                <c:pt idx="43">
                  <c:v>32.51</c:v>
                </c:pt>
                <c:pt idx="44">
                  <c:v>30.619999999999997</c:v>
                </c:pt>
                <c:pt idx="45">
                  <c:v>35.6</c:v>
                </c:pt>
                <c:pt idx="46">
                  <c:v>29.36</c:v>
                </c:pt>
                <c:pt idx="47">
                  <c:v>21</c:v>
                </c:pt>
                <c:pt idx="48">
                  <c:v>34.03</c:v>
                </c:pt>
                <c:pt idx="49">
                  <c:v>15.299999999999999</c:v>
                </c:pt>
                <c:pt idx="50">
                  <c:v>37.69</c:v>
                </c:pt>
                <c:pt idx="51">
                  <c:v>32.700000000000003</c:v>
                </c:pt>
                <c:pt idx="52">
                  <c:v>32.24</c:v>
                </c:pt>
                <c:pt idx="53">
                  <c:v>35.06</c:v>
                </c:pt>
                <c:pt idx="54">
                  <c:v>36.53</c:v>
                </c:pt>
                <c:pt idx="55">
                  <c:v>41.04</c:v>
                </c:pt>
                <c:pt idx="56">
                  <c:v>35.61</c:v>
                </c:pt>
                <c:pt idx="57">
                  <c:v>36.409999999999997</c:v>
                </c:pt>
                <c:pt idx="58">
                  <c:v>31.44</c:v>
                </c:pt>
                <c:pt idx="59">
                  <c:v>34.200000000000003</c:v>
                </c:pt>
                <c:pt idx="60">
                  <c:v>39</c:v>
                </c:pt>
                <c:pt idx="61">
                  <c:v>40.369999999999997</c:v>
                </c:pt>
                <c:pt idx="62">
                  <c:v>33.6</c:v>
                </c:pt>
                <c:pt idx="63">
                  <c:v>31.39</c:v>
                </c:pt>
                <c:pt idx="64">
                  <c:v>51.34</c:v>
                </c:pt>
                <c:pt idx="65">
                  <c:v>38.340000000000003</c:v>
                </c:pt>
                <c:pt idx="66">
                  <c:v>54.02</c:v>
                </c:pt>
                <c:pt idx="67">
                  <c:v>38.67</c:v>
                </c:pt>
                <c:pt idx="68">
                  <c:v>44.13</c:v>
                </c:pt>
                <c:pt idx="69">
                  <c:v>35.64</c:v>
                </c:pt>
                <c:pt idx="70">
                  <c:v>32.94</c:v>
                </c:pt>
                <c:pt idx="71">
                  <c:v>38.06</c:v>
                </c:pt>
                <c:pt idx="72">
                  <c:v>34.630000000000003</c:v>
                </c:pt>
                <c:pt idx="73">
                  <c:v>47.1</c:v>
                </c:pt>
                <c:pt idx="74">
                  <c:v>42.44</c:v>
                </c:pt>
                <c:pt idx="75">
                  <c:v>51.769999999999996</c:v>
                </c:pt>
                <c:pt idx="76">
                  <c:v>40</c:v>
                </c:pt>
                <c:pt idx="77">
                  <c:v>44.53</c:v>
                </c:pt>
                <c:pt idx="78">
                  <c:v>30.66</c:v>
                </c:pt>
                <c:pt idx="79">
                  <c:v>48.58</c:v>
                </c:pt>
                <c:pt idx="80">
                  <c:v>47.370000000000005</c:v>
                </c:pt>
                <c:pt idx="81">
                  <c:v>0</c:v>
                </c:pt>
                <c:pt idx="82">
                  <c:v>36.76</c:v>
                </c:pt>
                <c:pt idx="83">
                  <c:v>47.67</c:v>
                </c:pt>
                <c:pt idx="84">
                  <c:v>40.229999999999997</c:v>
                </c:pt>
                <c:pt idx="85">
                  <c:v>48.65</c:v>
                </c:pt>
                <c:pt idx="86">
                  <c:v>54.4</c:v>
                </c:pt>
                <c:pt idx="87">
                  <c:v>39.5</c:v>
                </c:pt>
                <c:pt idx="88">
                  <c:v>54</c:v>
                </c:pt>
                <c:pt idx="89">
                  <c:v>55.5</c:v>
                </c:pt>
                <c:pt idx="90">
                  <c:v>53.28</c:v>
                </c:pt>
                <c:pt idx="91">
                  <c:v>51.59</c:v>
                </c:pt>
                <c:pt idx="92">
                  <c:v>41.67</c:v>
                </c:pt>
                <c:pt idx="93">
                  <c:v>41.2</c:v>
                </c:pt>
                <c:pt idx="94">
                  <c:v>62.22</c:v>
                </c:pt>
                <c:pt idx="95">
                  <c:v>46.45</c:v>
                </c:pt>
                <c:pt idx="96">
                  <c:v>61.49</c:v>
                </c:pt>
                <c:pt idx="97">
                  <c:v>24.75</c:v>
                </c:pt>
                <c:pt idx="98">
                  <c:v>60.55</c:v>
                </c:pt>
                <c:pt idx="99">
                  <c:v>50.19</c:v>
                </c:pt>
                <c:pt idx="100">
                  <c:v>52.78</c:v>
                </c:pt>
                <c:pt idx="101">
                  <c:v>41.999999999999993</c:v>
                </c:pt>
                <c:pt idx="102">
                  <c:v>48.699999999999996</c:v>
                </c:pt>
                <c:pt idx="103">
                  <c:v>59.68</c:v>
                </c:pt>
                <c:pt idx="104">
                  <c:v>31.2</c:v>
                </c:pt>
                <c:pt idx="105">
                  <c:v>52.84</c:v>
                </c:pt>
                <c:pt idx="106">
                  <c:v>0</c:v>
                </c:pt>
                <c:pt idx="107">
                  <c:v>17.28</c:v>
                </c:pt>
                <c:pt idx="108">
                  <c:v>49.42</c:v>
                </c:pt>
                <c:pt idx="109">
                  <c:v>68.290000000000006</c:v>
                </c:pt>
                <c:pt idx="110">
                  <c:v>60.04</c:v>
                </c:pt>
                <c:pt idx="111">
                  <c:v>60.99</c:v>
                </c:pt>
                <c:pt idx="112">
                  <c:v>55.65</c:v>
                </c:pt>
                <c:pt idx="113">
                  <c:v>30.56</c:v>
                </c:pt>
                <c:pt idx="114">
                  <c:v>38.47</c:v>
                </c:pt>
                <c:pt idx="115">
                  <c:v>57.210000000000008</c:v>
                </c:pt>
                <c:pt idx="116">
                  <c:v>66.599999999999994</c:v>
                </c:pt>
                <c:pt idx="117">
                  <c:v>58.05</c:v>
                </c:pt>
                <c:pt idx="118">
                  <c:v>58.55</c:v>
                </c:pt>
                <c:pt idx="119">
                  <c:v>61.74</c:v>
                </c:pt>
                <c:pt idx="120">
                  <c:v>55.05</c:v>
                </c:pt>
                <c:pt idx="121">
                  <c:v>64.400000000000006</c:v>
                </c:pt>
                <c:pt idx="122">
                  <c:v>48</c:v>
                </c:pt>
                <c:pt idx="123">
                  <c:v>59.58</c:v>
                </c:pt>
                <c:pt idx="124">
                  <c:v>52.69</c:v>
                </c:pt>
                <c:pt idx="125">
                  <c:v>65.47</c:v>
                </c:pt>
                <c:pt idx="126">
                  <c:v>84.4</c:v>
                </c:pt>
                <c:pt idx="127">
                  <c:v>41.75</c:v>
                </c:pt>
                <c:pt idx="128">
                  <c:v>68</c:v>
                </c:pt>
                <c:pt idx="129">
                  <c:v>94.76</c:v>
                </c:pt>
                <c:pt idx="130">
                  <c:v>76.17</c:v>
                </c:pt>
                <c:pt idx="131">
                  <c:v>51</c:v>
                </c:pt>
                <c:pt idx="132">
                  <c:v>69.48</c:v>
                </c:pt>
                <c:pt idx="133">
                  <c:v>79.150000000000006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8-4B8B-9C34-D4FC464B8015}"/>
            </c:ext>
          </c:extLst>
        </c:ser>
        <c:ser>
          <c:idx val="1"/>
          <c:order val="1"/>
          <c:tx>
            <c:strRef>
              <c:f>'study base'!$Q$5</c:f>
              <c:strCache>
                <c:ptCount val="1"/>
                <c:pt idx="0">
                  <c:v>City of Grand Haven Sewer Only</c:v>
                </c:pt>
              </c:strCache>
            </c:strRef>
          </c:tx>
          <c:invertIfNegative val="0"/>
          <c:cat>
            <c:strRef>
              <c:f>'study base'!$B$7:$B$142</c:f>
              <c:strCache>
                <c:ptCount val="134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  <c:pt idx="65">
                  <c:v>Village of Lake Orion</c:v>
                </c:pt>
                <c:pt idx="66">
                  <c:v>City of Evart</c:v>
                </c:pt>
                <c:pt idx="67">
                  <c:v>City of St. Louis</c:v>
                </c:pt>
                <c:pt idx="68">
                  <c:v>City of Richmond</c:v>
                </c:pt>
                <c:pt idx="69">
                  <c:v>City of Tawas City - email comments</c:v>
                </c:pt>
                <c:pt idx="70">
                  <c:v>City of North Muskegon 4/1/2016</c:v>
                </c:pt>
                <c:pt idx="71">
                  <c:v>City of Alpena</c:v>
                </c:pt>
                <c:pt idx="72">
                  <c:v>Oakland Charter Township</c:v>
                </c:pt>
                <c:pt idx="73">
                  <c:v>Village of Shelby</c:v>
                </c:pt>
                <c:pt idx="74">
                  <c:v>Village of Sparta</c:v>
                </c:pt>
                <c:pt idx="75">
                  <c:v>Village of Bellaire</c:v>
                </c:pt>
                <c:pt idx="76">
                  <c:v>Village of Brooklyn</c:v>
                </c:pt>
                <c:pt idx="77">
                  <c:v>City of Southfield</c:v>
                </c:pt>
                <c:pt idx="78">
                  <c:v>DeWitt Charter Township</c:v>
                </c:pt>
                <c:pt idx="79">
                  <c:v>City of Clare</c:v>
                </c:pt>
                <c:pt idx="80">
                  <c:v>City of Cedar Springs</c:v>
                </c:pt>
                <c:pt idx="81">
                  <c:v>Villae of Blissfield</c:v>
                </c:pt>
                <c:pt idx="82">
                  <c:v>City of Saline</c:v>
                </c:pt>
                <c:pt idx="83">
                  <c:v>City of Charlotte</c:v>
                </c:pt>
                <c:pt idx="84">
                  <c:v>City of Marshall</c:v>
                </c:pt>
                <c:pt idx="85">
                  <c:v>City of Rockford</c:v>
                </c:pt>
                <c:pt idx="86">
                  <c:v>City of Caro</c:v>
                </c:pt>
                <c:pt idx="87">
                  <c:v>Village of Barryton</c:v>
                </c:pt>
                <c:pt idx="88">
                  <c:v>City of Onaway</c:v>
                </c:pt>
                <c:pt idx="89">
                  <c:v>City of Frankfort</c:v>
                </c:pt>
                <c:pt idx="90">
                  <c:v>City of Birmingham</c:v>
                </c:pt>
                <c:pt idx="91">
                  <c:v>City of Rogers City</c:v>
                </c:pt>
                <c:pt idx="92">
                  <c:v>Village of Oxford</c:v>
                </c:pt>
                <c:pt idx="93">
                  <c:v>Village of Beverly Hills</c:v>
                </c:pt>
                <c:pt idx="94">
                  <c:v>City of Port Huron</c:v>
                </c:pt>
                <c:pt idx="95">
                  <c:v>City of Corunna</c:v>
                </c:pt>
                <c:pt idx="96">
                  <c:v>City of Jonesville</c:v>
                </c:pt>
                <c:pt idx="97">
                  <c:v>City of Crystal Falls</c:v>
                </c:pt>
                <c:pt idx="98">
                  <c:v>City of Clawson</c:v>
                </c:pt>
                <c:pt idx="99">
                  <c:v>City of Grand Blanc</c:v>
                </c:pt>
                <c:pt idx="100">
                  <c:v>City of Grand Ledge</c:v>
                </c:pt>
                <c:pt idx="101">
                  <c:v>Redford Township</c:v>
                </c:pt>
                <c:pt idx="102">
                  <c:v>City of Farmington</c:v>
                </c:pt>
                <c:pt idx="103">
                  <c:v>City of Dexter</c:v>
                </c:pt>
                <c:pt idx="104">
                  <c:v>China Township</c:v>
                </c:pt>
                <c:pt idx="105">
                  <c:v>City of Frankenmuth</c:v>
                </c:pt>
                <c:pt idx="106">
                  <c:v>Village of Grosse Pointe Shores</c:v>
                </c:pt>
                <c:pt idx="107">
                  <c:v>City of Flushing</c:v>
                </c:pt>
                <c:pt idx="108">
                  <c:v>City of Howell</c:v>
                </c:pt>
                <c:pt idx="109">
                  <c:v>Village of Elk Rapids</c:v>
                </c:pt>
                <c:pt idx="110">
                  <c:v>City of Scottville</c:v>
                </c:pt>
                <c:pt idx="111">
                  <c:v>Hartland Township</c:v>
                </c:pt>
                <c:pt idx="112">
                  <c:v>City of Pleasant Ridge</c:v>
                </c:pt>
                <c:pt idx="113">
                  <c:v>City of Burton</c:v>
                </c:pt>
                <c:pt idx="114">
                  <c:v>City of Mt. Morris</c:v>
                </c:pt>
                <c:pt idx="115">
                  <c:v>City of Sandusky</c:v>
                </c:pt>
                <c:pt idx="116">
                  <c:v>K. I Sawyer (Marquette County)</c:v>
                </c:pt>
                <c:pt idx="117">
                  <c:v>City of AuGres</c:v>
                </c:pt>
                <c:pt idx="118">
                  <c:v>City of Williamston</c:v>
                </c:pt>
                <c:pt idx="119">
                  <c:v>City of Chelsea - 3/4"</c:v>
                </c:pt>
                <c:pt idx="120">
                  <c:v>City of Mt Clemens</c:v>
                </c:pt>
                <c:pt idx="121">
                  <c:v>Village of Union City</c:v>
                </c:pt>
                <c:pt idx="122">
                  <c:v>City of Essexville</c:v>
                </c:pt>
                <c:pt idx="123">
                  <c:v>City of Sault Ste Marie</c:v>
                </c:pt>
                <c:pt idx="124">
                  <c:v>City of Davison</c:v>
                </c:pt>
                <c:pt idx="125">
                  <c:v>City of Chelsea - 1"</c:v>
                </c:pt>
                <c:pt idx="126">
                  <c:v>City of Fraser</c:v>
                </c:pt>
                <c:pt idx="127">
                  <c:v>City of Montrose</c:v>
                </c:pt>
                <c:pt idx="128">
                  <c:v>City of Norway</c:v>
                </c:pt>
                <c:pt idx="129">
                  <c:v>City of West Branch - offered help</c:v>
                </c:pt>
                <c:pt idx="130">
                  <c:v>City of Munising</c:v>
                </c:pt>
                <c:pt idx="131">
                  <c:v>Village of Ontonagon</c:v>
                </c:pt>
                <c:pt idx="132">
                  <c:v>City of Ishpeming</c:v>
                </c:pt>
                <c:pt idx="133">
                  <c:v>City of Negaunee</c:v>
                </c:pt>
              </c:strCache>
            </c:strRef>
          </c:cat>
          <c:val>
            <c:numRef>
              <c:f>'study base'!$Q$7:$Q$142</c:f>
              <c:numCache>
                <c:formatCode>General</c:formatCode>
                <c:ptCount val="136"/>
                <c:pt idx="15" formatCode="_(* #,##0.00_);_(* \(#,##0.00\);_(* &quot;-&quot;??_);_(@_)">
                  <c:v>30.89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78-4B8B-9C34-D4FC464B8015}"/>
            </c:ext>
          </c:extLst>
        </c:ser>
        <c:ser>
          <c:idx val="2"/>
          <c:order val="2"/>
          <c:tx>
            <c:strRef>
              <c:f>'study base'!$T$5</c:f>
              <c:strCache>
                <c:ptCount val="1"/>
                <c:pt idx="0">
                  <c:v>Tri Cities Local Gov'ts Sewer Only</c:v>
                </c:pt>
              </c:strCache>
            </c:strRef>
          </c:tx>
          <c:invertIfNegative val="0"/>
          <c:cat>
            <c:strRef>
              <c:f>'study base'!$B$7:$B$142</c:f>
              <c:strCache>
                <c:ptCount val="134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  <c:pt idx="65">
                  <c:v>Village of Lake Orion</c:v>
                </c:pt>
                <c:pt idx="66">
                  <c:v>City of Evart</c:v>
                </c:pt>
                <c:pt idx="67">
                  <c:v>City of St. Louis</c:v>
                </c:pt>
                <c:pt idx="68">
                  <c:v>City of Richmond</c:v>
                </c:pt>
                <c:pt idx="69">
                  <c:v>City of Tawas City - email comments</c:v>
                </c:pt>
                <c:pt idx="70">
                  <c:v>City of North Muskegon 4/1/2016</c:v>
                </c:pt>
                <c:pt idx="71">
                  <c:v>City of Alpena</c:v>
                </c:pt>
                <c:pt idx="72">
                  <c:v>Oakland Charter Township</c:v>
                </c:pt>
                <c:pt idx="73">
                  <c:v>Village of Shelby</c:v>
                </c:pt>
                <c:pt idx="74">
                  <c:v>Village of Sparta</c:v>
                </c:pt>
                <c:pt idx="75">
                  <c:v>Village of Bellaire</c:v>
                </c:pt>
                <c:pt idx="76">
                  <c:v>Village of Brooklyn</c:v>
                </c:pt>
                <c:pt idx="77">
                  <c:v>City of Southfield</c:v>
                </c:pt>
                <c:pt idx="78">
                  <c:v>DeWitt Charter Township</c:v>
                </c:pt>
                <c:pt idx="79">
                  <c:v>City of Clare</c:v>
                </c:pt>
                <c:pt idx="80">
                  <c:v>City of Cedar Springs</c:v>
                </c:pt>
                <c:pt idx="81">
                  <c:v>Villae of Blissfield</c:v>
                </c:pt>
                <c:pt idx="82">
                  <c:v>City of Saline</c:v>
                </c:pt>
                <c:pt idx="83">
                  <c:v>City of Charlotte</c:v>
                </c:pt>
                <c:pt idx="84">
                  <c:v>City of Marshall</c:v>
                </c:pt>
                <c:pt idx="85">
                  <c:v>City of Rockford</c:v>
                </c:pt>
                <c:pt idx="86">
                  <c:v>City of Caro</c:v>
                </c:pt>
                <c:pt idx="87">
                  <c:v>Village of Barryton</c:v>
                </c:pt>
                <c:pt idx="88">
                  <c:v>City of Onaway</c:v>
                </c:pt>
                <c:pt idx="89">
                  <c:v>City of Frankfort</c:v>
                </c:pt>
                <c:pt idx="90">
                  <c:v>City of Birmingham</c:v>
                </c:pt>
                <c:pt idx="91">
                  <c:v>City of Rogers City</c:v>
                </c:pt>
                <c:pt idx="92">
                  <c:v>Village of Oxford</c:v>
                </c:pt>
                <c:pt idx="93">
                  <c:v>Village of Beverly Hills</c:v>
                </c:pt>
                <c:pt idx="94">
                  <c:v>City of Port Huron</c:v>
                </c:pt>
                <c:pt idx="95">
                  <c:v>City of Corunna</c:v>
                </c:pt>
                <c:pt idx="96">
                  <c:v>City of Jonesville</c:v>
                </c:pt>
                <c:pt idx="97">
                  <c:v>City of Crystal Falls</c:v>
                </c:pt>
                <c:pt idx="98">
                  <c:v>City of Clawson</c:v>
                </c:pt>
                <c:pt idx="99">
                  <c:v>City of Grand Blanc</c:v>
                </c:pt>
                <c:pt idx="100">
                  <c:v>City of Grand Ledge</c:v>
                </c:pt>
                <c:pt idx="101">
                  <c:v>Redford Township</c:v>
                </c:pt>
                <c:pt idx="102">
                  <c:v>City of Farmington</c:v>
                </c:pt>
                <c:pt idx="103">
                  <c:v>City of Dexter</c:v>
                </c:pt>
                <c:pt idx="104">
                  <c:v>China Township</c:v>
                </c:pt>
                <c:pt idx="105">
                  <c:v>City of Frankenmuth</c:v>
                </c:pt>
                <c:pt idx="106">
                  <c:v>Village of Grosse Pointe Shores</c:v>
                </c:pt>
                <c:pt idx="107">
                  <c:v>City of Flushing</c:v>
                </c:pt>
                <c:pt idx="108">
                  <c:v>City of Howell</c:v>
                </c:pt>
                <c:pt idx="109">
                  <c:v>Village of Elk Rapids</c:v>
                </c:pt>
                <c:pt idx="110">
                  <c:v>City of Scottville</c:v>
                </c:pt>
                <c:pt idx="111">
                  <c:v>Hartland Township</c:v>
                </c:pt>
                <c:pt idx="112">
                  <c:v>City of Pleasant Ridge</c:v>
                </c:pt>
                <c:pt idx="113">
                  <c:v>City of Burton</c:v>
                </c:pt>
                <c:pt idx="114">
                  <c:v>City of Mt. Morris</c:v>
                </c:pt>
                <c:pt idx="115">
                  <c:v>City of Sandusky</c:v>
                </c:pt>
                <c:pt idx="116">
                  <c:v>K. I Sawyer (Marquette County)</c:v>
                </c:pt>
                <c:pt idx="117">
                  <c:v>City of AuGres</c:v>
                </c:pt>
                <c:pt idx="118">
                  <c:v>City of Williamston</c:v>
                </c:pt>
                <c:pt idx="119">
                  <c:v>City of Chelsea - 3/4"</c:v>
                </c:pt>
                <c:pt idx="120">
                  <c:v>City of Mt Clemens</c:v>
                </c:pt>
                <c:pt idx="121">
                  <c:v>Village of Union City</c:v>
                </c:pt>
                <c:pt idx="122">
                  <c:v>City of Essexville</c:v>
                </c:pt>
                <c:pt idx="123">
                  <c:v>City of Sault Ste Marie</c:v>
                </c:pt>
                <c:pt idx="124">
                  <c:v>City of Davison</c:v>
                </c:pt>
                <c:pt idx="125">
                  <c:v>City of Chelsea - 1"</c:v>
                </c:pt>
                <c:pt idx="126">
                  <c:v>City of Fraser</c:v>
                </c:pt>
                <c:pt idx="127">
                  <c:v>City of Montrose</c:v>
                </c:pt>
                <c:pt idx="128">
                  <c:v>City of Norway</c:v>
                </c:pt>
                <c:pt idx="129">
                  <c:v>City of West Branch - offered help</c:v>
                </c:pt>
                <c:pt idx="130">
                  <c:v>City of Munising</c:v>
                </c:pt>
                <c:pt idx="131">
                  <c:v>Village of Ontonagon</c:v>
                </c:pt>
                <c:pt idx="132">
                  <c:v>City of Ishpeming</c:v>
                </c:pt>
                <c:pt idx="133">
                  <c:v>City of Negaunee</c:v>
                </c:pt>
              </c:strCache>
            </c:strRef>
          </c:cat>
          <c:val>
            <c:numRef>
              <c:f>'study base'!$T$7:$T$142</c:f>
              <c:numCache>
                <c:formatCode>General</c:formatCode>
                <c:ptCount val="136"/>
                <c:pt idx="12" formatCode="_(* #,##0.00_);_(* \(#,##0.00\);_(* &quot;-&quot;??_);_(@_)">
                  <c:v>23.22</c:v>
                </c:pt>
                <c:pt idx="31" formatCode="_(* #,##0.00_);_(* \(#,##0.00\);_(* &quot;-&quot;??_);_(@_)">
                  <c:v>33.11</c:v>
                </c:pt>
                <c:pt idx="38" formatCode="_(* #,##0.00_);_(* \(#,##0.00\);_(* &quot;-&quot;??_);_(@_)">
                  <c:v>34.78</c:v>
                </c:pt>
                <c:pt idx="43" formatCode="_(* #,##0.00_);_(* \(#,##0.00\);_(* &quot;-&quot;??_);_(@_)">
                  <c:v>32.51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78-4B8B-9C34-D4FC464B8015}"/>
            </c:ext>
          </c:extLst>
        </c:ser>
        <c:ser>
          <c:idx val="3"/>
          <c:order val="3"/>
          <c:tx>
            <c:strRef>
              <c:f>'study base'!$R$5</c:f>
              <c:strCache>
                <c:ptCount val="1"/>
                <c:pt idx="0">
                  <c:v>City of Grand Haven Sewer Only (Projected)</c:v>
                </c:pt>
              </c:strCache>
            </c:strRef>
          </c:tx>
          <c:invertIfNegative val="0"/>
          <c:val>
            <c:numRef>
              <c:f>'study base'!$R$7:$R$142</c:f>
              <c:numCache>
                <c:formatCode>General</c:formatCode>
                <c:ptCount val="136"/>
                <c:pt idx="19" formatCode="_(* #,##0.00_);_(* \(#,##0.00\);_(* &quot;-&quot;??_);_(@_)">
                  <c:v>32.21</c:v>
                </c:pt>
                <c:pt idx="21" formatCode="_(* #,##0.00_);_(* \(#,##0.00\);_(* &quot;-&quot;??_);_(@_)">
                  <c:v>33.04</c:v>
                </c:pt>
                <c:pt idx="26" formatCode="_(* #,##0.00_);_(* \(#,##0.00\);_(* &quot;-&quot;??_);_(@_)">
                  <c:v>34.4</c:v>
                </c:pt>
                <c:pt idx="28" formatCode="_(* #,##0.00_);_(* \(#,##0.00\);_(* &quot;-&quot;??_);_(@_)">
                  <c:v>35.29</c:v>
                </c:pt>
                <c:pt idx="40" formatCode="_(* #,##0.00_);_(* \(#,##0.00\);_(* &quot;-&quot;??_);_(@_)">
                  <c:v>36.700000000000003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78-4B8B-9C34-D4FC464B8015}"/>
            </c:ext>
          </c:extLst>
        </c:ser>
        <c:ser>
          <c:idx val="4"/>
          <c:order val="4"/>
          <c:tx>
            <c:strRef>
              <c:f>'study base'!$S$5</c:f>
              <c:strCache>
                <c:ptCount val="1"/>
                <c:pt idx="0">
                  <c:v>Local Unit Plus 5 Years Sewer Projected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val>
            <c:numRef>
              <c:f>'study base'!$S$7:$S$142</c:f>
              <c:numCache>
                <c:formatCode>General</c:formatCode>
                <c:ptCount val="136"/>
                <c:pt idx="55" formatCode="_(* #,##0.00_);_(* \(#,##0.00\);_(* &quot;-&quot;??_);_(@_)">
                  <c:v>41.04</c:v>
                </c:pt>
                <c:pt idx="57" formatCode="_(* #,##0.00_);_(* \(#,##0.00\);_(* &quot;-&quot;??_);_(@_)">
                  <c:v>36.409999999999997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78-4B8B-9C34-D4FC464B8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771840"/>
        <c:axId val="158671232"/>
      </c:barChart>
      <c:catAx>
        <c:axId val="15877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300"/>
            </a:pPr>
            <a:endParaRPr lang="en-US"/>
          </a:p>
        </c:txPr>
        <c:crossAx val="158671232"/>
        <c:crosses val="autoZero"/>
        <c:auto val="1"/>
        <c:lblAlgn val="ctr"/>
        <c:lblOffset val="100"/>
        <c:noMultiLvlLbl val="0"/>
      </c:catAx>
      <c:valAx>
        <c:axId val="1586712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58771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215530948595151"/>
          <c:y val="0.15347553663069471"/>
          <c:w val="0.76440348221284915"/>
          <c:h val="0.127079861566023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Combined Water &amp; Sewer Monthly Cost </a:t>
            </a:r>
            <a:r>
              <a:rPr lang="en-US" sz="1600" baseline="0"/>
              <a:t>- </a:t>
            </a:r>
            <a:r>
              <a:rPr lang="en-US" sz="1600"/>
              <a:t>6000 Gallons Each</a:t>
            </a:r>
          </a:p>
        </c:rich>
      </c:tx>
      <c:layout>
        <c:manualLayout>
          <c:xMode val="edge"/>
          <c:yMode val="edge"/>
          <c:x val="0.17545338271651958"/>
          <c:y val="2.50000054680676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90826451571602E-2"/>
          <c:y val="0.11441204925222589"/>
          <c:w val="0.87973401190704825"/>
          <c:h val="0.63110818703153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'study base'!$F$5</c:f>
              <c:strCache>
                <c:ptCount val="1"/>
                <c:pt idx="0">
                  <c:v> Combined Water &amp; Sewer Monthly Cost 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base'!$F$7:$F$71</c:f>
              <c:numCache>
                <c:formatCode>_(* #,##0.00_);_(* \(#,##0.00\);_(* "-"??_);_(@_)</c:formatCode>
                <c:ptCount val="65"/>
                <c:pt idx="1">
                  <c:v>21.299999999999997</c:v>
                </c:pt>
                <c:pt idx="2">
                  <c:v>22.1</c:v>
                </c:pt>
                <c:pt idx="3">
                  <c:v>23.36</c:v>
                </c:pt>
                <c:pt idx="4">
                  <c:v>24.42</c:v>
                </c:pt>
                <c:pt idx="5">
                  <c:v>31.67</c:v>
                </c:pt>
                <c:pt idx="6">
                  <c:v>32.549999999999997</c:v>
                </c:pt>
                <c:pt idx="7">
                  <c:v>33.53</c:v>
                </c:pt>
                <c:pt idx="8">
                  <c:v>35.299999999999997</c:v>
                </c:pt>
                <c:pt idx="9">
                  <c:v>36.35</c:v>
                </c:pt>
                <c:pt idx="10">
                  <c:v>37.08</c:v>
                </c:pt>
                <c:pt idx="11">
                  <c:v>40.549999999999997</c:v>
                </c:pt>
                <c:pt idx="12">
                  <c:v>44.480000000000004</c:v>
                </c:pt>
                <c:pt idx="13">
                  <c:v>46.32</c:v>
                </c:pt>
                <c:pt idx="14">
                  <c:v>47.04</c:v>
                </c:pt>
                <c:pt idx="15">
                  <c:v>47.68</c:v>
                </c:pt>
                <c:pt idx="16">
                  <c:v>49.3</c:v>
                </c:pt>
                <c:pt idx="17">
                  <c:v>49.65</c:v>
                </c:pt>
                <c:pt idx="18">
                  <c:v>50.04</c:v>
                </c:pt>
                <c:pt idx="19">
                  <c:v>50.150000000000006</c:v>
                </c:pt>
                <c:pt idx="20">
                  <c:v>51</c:v>
                </c:pt>
                <c:pt idx="21">
                  <c:v>51.66</c:v>
                </c:pt>
                <c:pt idx="22">
                  <c:v>51.769999999999996</c:v>
                </c:pt>
                <c:pt idx="23">
                  <c:v>52.97</c:v>
                </c:pt>
                <c:pt idx="24">
                  <c:v>52.989999999999995</c:v>
                </c:pt>
                <c:pt idx="25">
                  <c:v>53.08</c:v>
                </c:pt>
                <c:pt idx="26">
                  <c:v>54.239999999999995</c:v>
                </c:pt>
                <c:pt idx="27">
                  <c:v>54.789999999999992</c:v>
                </c:pt>
                <c:pt idx="28">
                  <c:v>55.879999999999995</c:v>
                </c:pt>
                <c:pt idx="29">
                  <c:v>56</c:v>
                </c:pt>
                <c:pt idx="30">
                  <c:v>56.1</c:v>
                </c:pt>
                <c:pt idx="31">
                  <c:v>56.33</c:v>
                </c:pt>
                <c:pt idx="32">
                  <c:v>56.449999999999996</c:v>
                </c:pt>
                <c:pt idx="33">
                  <c:v>57.11</c:v>
                </c:pt>
                <c:pt idx="34">
                  <c:v>57.34</c:v>
                </c:pt>
                <c:pt idx="35">
                  <c:v>57.429998111999993</c:v>
                </c:pt>
                <c:pt idx="36">
                  <c:v>57.489999999999995</c:v>
                </c:pt>
                <c:pt idx="37">
                  <c:v>57.550000000000004</c:v>
                </c:pt>
                <c:pt idx="38">
                  <c:v>57.67</c:v>
                </c:pt>
                <c:pt idx="39">
                  <c:v>58.230000000000004</c:v>
                </c:pt>
                <c:pt idx="40">
                  <c:v>58.570000000000007</c:v>
                </c:pt>
                <c:pt idx="41">
                  <c:v>58.7</c:v>
                </c:pt>
                <c:pt idx="42">
                  <c:v>59.31</c:v>
                </c:pt>
                <c:pt idx="43">
                  <c:v>59.75</c:v>
                </c:pt>
                <c:pt idx="44">
                  <c:v>60.14</c:v>
                </c:pt>
                <c:pt idx="45">
                  <c:v>60.44</c:v>
                </c:pt>
                <c:pt idx="46">
                  <c:v>61.01</c:v>
                </c:pt>
                <c:pt idx="47">
                  <c:v>61.53</c:v>
                </c:pt>
                <c:pt idx="48">
                  <c:v>61.53</c:v>
                </c:pt>
                <c:pt idx="49">
                  <c:v>61.67</c:v>
                </c:pt>
                <c:pt idx="50">
                  <c:v>63.31</c:v>
                </c:pt>
                <c:pt idx="51">
                  <c:v>63.39</c:v>
                </c:pt>
                <c:pt idx="52">
                  <c:v>63.49</c:v>
                </c:pt>
                <c:pt idx="53">
                  <c:v>64.59</c:v>
                </c:pt>
                <c:pt idx="54">
                  <c:v>65.11</c:v>
                </c:pt>
                <c:pt idx="55">
                  <c:v>65.72</c:v>
                </c:pt>
                <c:pt idx="56">
                  <c:v>66.52</c:v>
                </c:pt>
                <c:pt idx="57">
                  <c:v>66.899999999999991</c:v>
                </c:pt>
                <c:pt idx="58">
                  <c:v>67.260000000000005</c:v>
                </c:pt>
                <c:pt idx="59">
                  <c:v>67.599999999999994</c:v>
                </c:pt>
                <c:pt idx="60">
                  <c:v>68.319999999999993</c:v>
                </c:pt>
                <c:pt idx="61">
                  <c:v>68.959999999999994</c:v>
                </c:pt>
                <c:pt idx="62">
                  <c:v>70.5</c:v>
                </c:pt>
                <c:pt idx="63">
                  <c:v>70.66</c:v>
                </c:pt>
                <c:pt idx="64">
                  <c:v>71.14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A-4ACF-8CBF-A8DA59882CE5}"/>
            </c:ext>
          </c:extLst>
        </c:ser>
        <c:ser>
          <c:idx val="1"/>
          <c:order val="1"/>
          <c:tx>
            <c:strRef>
              <c:f>'study base'!$I$5</c:f>
              <c:strCache>
                <c:ptCount val="1"/>
                <c:pt idx="0">
                  <c:v>City Of Grand Haven (Combined)</c:v>
                </c:pt>
              </c:strCache>
            </c:strRef>
          </c:tx>
          <c:invertIfNegative val="0"/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base'!$I$7:$I$71</c:f>
              <c:numCache>
                <c:formatCode>General</c:formatCode>
                <c:ptCount val="65"/>
                <c:pt idx="15" formatCode="_(* #,##0.00_);_(* \(#,##0.00\);_(* &quot;-&quot;??_);_(@_)">
                  <c:v>47.68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EA-4ACF-8CBF-A8DA59882CE5}"/>
            </c:ext>
          </c:extLst>
        </c:ser>
        <c:ser>
          <c:idx val="2"/>
          <c:order val="2"/>
          <c:tx>
            <c:strRef>
              <c:f>'study base'!$L$5</c:f>
              <c:strCache>
                <c:ptCount val="1"/>
                <c:pt idx="0">
                  <c:v>Tri Cities Local Gov'ts (Combined)</c:v>
                </c:pt>
              </c:strCache>
            </c:strRef>
          </c:tx>
          <c:invertIfNegative val="0"/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base'!$L$7:$L$71</c:f>
              <c:numCache>
                <c:formatCode>General</c:formatCode>
                <c:ptCount val="65"/>
                <c:pt idx="12" formatCode="_(* #,##0.00_);_(* \(#,##0.00\);_(* &quot;-&quot;??_);_(@_)">
                  <c:v>44.480000000000004</c:v>
                </c:pt>
                <c:pt idx="31" formatCode="_(* #,##0.00_);_(* \(#,##0.00\);_(* &quot;-&quot;??_);_(@_)">
                  <c:v>56.33</c:v>
                </c:pt>
                <c:pt idx="38" formatCode="_(* #,##0.00_);_(* \(#,##0.00\);_(* &quot;-&quot;??_);_(@_)">
                  <c:v>57.67</c:v>
                </c:pt>
                <c:pt idx="43" formatCode="_(* #,##0.00_);_(* \(#,##0.00\);_(* &quot;-&quot;??_);_(@_)">
                  <c:v>59.75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EA-4ACF-8CBF-A8DA59882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795648"/>
        <c:axId val="158797184"/>
      </c:barChart>
      <c:lineChart>
        <c:grouping val="standard"/>
        <c:varyColors val="0"/>
        <c:ser>
          <c:idx val="3"/>
          <c:order val="3"/>
          <c:tx>
            <c:v>Total Combined Cost</c:v>
          </c:tx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none"/>
          </c:marker>
          <c:val>
            <c:numRef>
              <c:f>'study base'!$F$7:$F$71</c:f>
              <c:numCache>
                <c:formatCode>_(* #,##0.00_);_(* \(#,##0.00\);_(* "-"??_);_(@_)</c:formatCode>
                <c:ptCount val="65"/>
                <c:pt idx="1">
                  <c:v>21.299999999999997</c:v>
                </c:pt>
                <c:pt idx="2">
                  <c:v>22.1</c:v>
                </c:pt>
                <c:pt idx="3">
                  <c:v>23.36</c:v>
                </c:pt>
                <c:pt idx="4">
                  <c:v>24.42</c:v>
                </c:pt>
                <c:pt idx="5">
                  <c:v>31.67</c:v>
                </c:pt>
                <c:pt idx="6">
                  <c:v>32.549999999999997</c:v>
                </c:pt>
                <c:pt idx="7">
                  <c:v>33.53</c:v>
                </c:pt>
                <c:pt idx="8">
                  <c:v>35.299999999999997</c:v>
                </c:pt>
                <c:pt idx="9">
                  <c:v>36.35</c:v>
                </c:pt>
                <c:pt idx="10">
                  <c:v>37.08</c:v>
                </c:pt>
                <c:pt idx="11">
                  <c:v>40.549999999999997</c:v>
                </c:pt>
                <c:pt idx="12">
                  <c:v>44.480000000000004</c:v>
                </c:pt>
                <c:pt idx="13">
                  <c:v>46.32</c:v>
                </c:pt>
                <c:pt idx="14">
                  <c:v>47.04</c:v>
                </c:pt>
                <c:pt idx="15">
                  <c:v>47.68</c:v>
                </c:pt>
                <c:pt idx="16">
                  <c:v>49.3</c:v>
                </c:pt>
                <c:pt idx="17">
                  <c:v>49.65</c:v>
                </c:pt>
                <c:pt idx="18">
                  <c:v>50.04</c:v>
                </c:pt>
                <c:pt idx="19">
                  <c:v>50.150000000000006</c:v>
                </c:pt>
                <c:pt idx="20">
                  <c:v>51</c:v>
                </c:pt>
                <c:pt idx="21">
                  <c:v>51.66</c:v>
                </c:pt>
                <c:pt idx="22">
                  <c:v>51.769999999999996</c:v>
                </c:pt>
                <c:pt idx="23">
                  <c:v>52.97</c:v>
                </c:pt>
                <c:pt idx="24">
                  <c:v>52.989999999999995</c:v>
                </c:pt>
                <c:pt idx="25">
                  <c:v>53.08</c:v>
                </c:pt>
                <c:pt idx="26">
                  <c:v>54.239999999999995</c:v>
                </c:pt>
                <c:pt idx="27">
                  <c:v>54.789999999999992</c:v>
                </c:pt>
                <c:pt idx="28">
                  <c:v>55.879999999999995</c:v>
                </c:pt>
                <c:pt idx="29">
                  <c:v>56</c:v>
                </c:pt>
                <c:pt idx="30">
                  <c:v>56.1</c:v>
                </c:pt>
                <c:pt idx="31">
                  <c:v>56.33</c:v>
                </c:pt>
                <c:pt idx="32">
                  <c:v>56.449999999999996</c:v>
                </c:pt>
                <c:pt idx="33">
                  <c:v>57.11</c:v>
                </c:pt>
                <c:pt idx="34">
                  <c:v>57.34</c:v>
                </c:pt>
                <c:pt idx="35">
                  <c:v>57.429998111999993</c:v>
                </c:pt>
                <c:pt idx="36">
                  <c:v>57.489999999999995</c:v>
                </c:pt>
                <c:pt idx="37">
                  <c:v>57.550000000000004</c:v>
                </c:pt>
                <c:pt idx="38">
                  <c:v>57.67</c:v>
                </c:pt>
                <c:pt idx="39">
                  <c:v>58.230000000000004</c:v>
                </c:pt>
                <c:pt idx="40">
                  <c:v>58.570000000000007</c:v>
                </c:pt>
                <c:pt idx="41">
                  <c:v>58.7</c:v>
                </c:pt>
                <c:pt idx="42">
                  <c:v>59.31</c:v>
                </c:pt>
                <c:pt idx="43">
                  <c:v>59.75</c:v>
                </c:pt>
                <c:pt idx="44">
                  <c:v>60.14</c:v>
                </c:pt>
                <c:pt idx="45">
                  <c:v>60.44</c:v>
                </c:pt>
                <c:pt idx="46">
                  <c:v>61.01</c:v>
                </c:pt>
                <c:pt idx="47">
                  <c:v>61.53</c:v>
                </c:pt>
                <c:pt idx="48">
                  <c:v>61.53</c:v>
                </c:pt>
                <c:pt idx="49">
                  <c:v>61.67</c:v>
                </c:pt>
                <c:pt idx="50">
                  <c:v>63.31</c:v>
                </c:pt>
                <c:pt idx="51">
                  <c:v>63.39</c:v>
                </c:pt>
                <c:pt idx="52">
                  <c:v>63.49</c:v>
                </c:pt>
                <c:pt idx="53">
                  <c:v>64.59</c:v>
                </c:pt>
                <c:pt idx="54">
                  <c:v>65.11</c:v>
                </c:pt>
                <c:pt idx="55">
                  <c:v>65.72</c:v>
                </c:pt>
                <c:pt idx="56">
                  <c:v>66.52</c:v>
                </c:pt>
                <c:pt idx="57">
                  <c:v>66.899999999999991</c:v>
                </c:pt>
                <c:pt idx="58">
                  <c:v>67.260000000000005</c:v>
                </c:pt>
                <c:pt idx="59">
                  <c:v>67.599999999999994</c:v>
                </c:pt>
                <c:pt idx="60">
                  <c:v>68.319999999999993</c:v>
                </c:pt>
                <c:pt idx="61">
                  <c:v>68.959999999999994</c:v>
                </c:pt>
                <c:pt idx="62">
                  <c:v>70.5</c:v>
                </c:pt>
                <c:pt idx="63">
                  <c:v>70.66</c:v>
                </c:pt>
                <c:pt idx="64">
                  <c:v>71.14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EA-4ACF-8CBF-A8DA59882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95648"/>
        <c:axId val="158797184"/>
      </c:lineChart>
      <c:catAx>
        <c:axId val="158795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600"/>
            </a:pPr>
            <a:endParaRPr lang="en-US"/>
          </a:p>
        </c:txPr>
        <c:crossAx val="158797184"/>
        <c:crosses val="autoZero"/>
        <c:auto val="1"/>
        <c:lblAlgn val="ctr"/>
        <c:lblOffset val="100"/>
        <c:noMultiLvlLbl val="0"/>
      </c:catAx>
      <c:valAx>
        <c:axId val="1587971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58795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180124854405292"/>
          <c:y val="8.981694877886022E-2"/>
          <c:w val="0.67971220646995922"/>
          <c:h val="9.652429932727459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25" l="0.25" r="0.25" t="0.25" header="0.25" footer="0.2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Combined Water &amp; Sewer Monthly Cost </a:t>
            </a:r>
            <a:r>
              <a:rPr lang="en-US" sz="1600" baseline="0"/>
              <a:t>- </a:t>
            </a:r>
            <a:r>
              <a:rPr lang="en-US" sz="1600"/>
              <a:t>6000 Gallons Each</a:t>
            </a:r>
          </a:p>
        </c:rich>
      </c:tx>
      <c:layout>
        <c:manualLayout>
          <c:xMode val="edge"/>
          <c:yMode val="edge"/>
          <c:x val="0.17545338271651958"/>
          <c:y val="2.50000054680676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90826451571602E-2"/>
          <c:y val="0.11441204925222589"/>
          <c:w val="0.87973401190704825"/>
          <c:h val="0.63110818703153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'study base'!$F$5</c:f>
              <c:strCache>
                <c:ptCount val="1"/>
                <c:pt idx="0">
                  <c:v> Combined Water &amp; Sewer Monthly Cost 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base'!$F$7:$F$71</c:f>
              <c:numCache>
                <c:formatCode>_(* #,##0.00_);_(* \(#,##0.00\);_(* "-"??_);_(@_)</c:formatCode>
                <c:ptCount val="65"/>
                <c:pt idx="1">
                  <c:v>21.299999999999997</c:v>
                </c:pt>
                <c:pt idx="2">
                  <c:v>22.1</c:v>
                </c:pt>
                <c:pt idx="3">
                  <c:v>23.36</c:v>
                </c:pt>
                <c:pt idx="4">
                  <c:v>24.42</c:v>
                </c:pt>
                <c:pt idx="5">
                  <c:v>31.67</c:v>
                </c:pt>
                <c:pt idx="6">
                  <c:v>32.549999999999997</c:v>
                </c:pt>
                <c:pt idx="7">
                  <c:v>33.53</c:v>
                </c:pt>
                <c:pt idx="8">
                  <c:v>35.299999999999997</c:v>
                </c:pt>
                <c:pt idx="9">
                  <c:v>36.35</c:v>
                </c:pt>
                <c:pt idx="10">
                  <c:v>37.08</c:v>
                </c:pt>
                <c:pt idx="11">
                  <c:v>40.549999999999997</c:v>
                </c:pt>
                <c:pt idx="12">
                  <c:v>44.480000000000004</c:v>
                </c:pt>
                <c:pt idx="13">
                  <c:v>46.32</c:v>
                </c:pt>
                <c:pt idx="14">
                  <c:v>47.04</c:v>
                </c:pt>
                <c:pt idx="15">
                  <c:v>47.68</c:v>
                </c:pt>
                <c:pt idx="16">
                  <c:v>49.3</c:v>
                </c:pt>
                <c:pt idx="17">
                  <c:v>49.65</c:v>
                </c:pt>
                <c:pt idx="18">
                  <c:v>50.04</c:v>
                </c:pt>
                <c:pt idx="19">
                  <c:v>50.150000000000006</c:v>
                </c:pt>
                <c:pt idx="20">
                  <c:v>51</c:v>
                </c:pt>
                <c:pt idx="21">
                  <c:v>51.66</c:v>
                </c:pt>
                <c:pt idx="22">
                  <c:v>51.769999999999996</c:v>
                </c:pt>
                <c:pt idx="23">
                  <c:v>52.97</c:v>
                </c:pt>
                <c:pt idx="24">
                  <c:v>52.989999999999995</c:v>
                </c:pt>
                <c:pt idx="25">
                  <c:v>53.08</c:v>
                </c:pt>
                <c:pt idx="26">
                  <c:v>54.239999999999995</c:v>
                </c:pt>
                <c:pt idx="27">
                  <c:v>54.789999999999992</c:v>
                </c:pt>
                <c:pt idx="28">
                  <c:v>55.879999999999995</c:v>
                </c:pt>
                <c:pt idx="29">
                  <c:v>56</c:v>
                </c:pt>
                <c:pt idx="30">
                  <c:v>56.1</c:v>
                </c:pt>
                <c:pt idx="31">
                  <c:v>56.33</c:v>
                </c:pt>
                <c:pt idx="32">
                  <c:v>56.449999999999996</c:v>
                </c:pt>
                <c:pt idx="33">
                  <c:v>57.11</c:v>
                </c:pt>
                <c:pt idx="34">
                  <c:v>57.34</c:v>
                </c:pt>
                <c:pt idx="35">
                  <c:v>57.429998111999993</c:v>
                </c:pt>
                <c:pt idx="36">
                  <c:v>57.489999999999995</c:v>
                </c:pt>
                <c:pt idx="37">
                  <c:v>57.550000000000004</c:v>
                </c:pt>
                <c:pt idx="38">
                  <c:v>57.67</c:v>
                </c:pt>
                <c:pt idx="39">
                  <c:v>58.230000000000004</c:v>
                </c:pt>
                <c:pt idx="40">
                  <c:v>58.570000000000007</c:v>
                </c:pt>
                <c:pt idx="41">
                  <c:v>58.7</c:v>
                </c:pt>
                <c:pt idx="42">
                  <c:v>59.31</c:v>
                </c:pt>
                <c:pt idx="43">
                  <c:v>59.75</c:v>
                </c:pt>
                <c:pt idx="44">
                  <c:v>60.14</c:v>
                </c:pt>
                <c:pt idx="45">
                  <c:v>60.44</c:v>
                </c:pt>
                <c:pt idx="46">
                  <c:v>61.01</c:v>
                </c:pt>
                <c:pt idx="47">
                  <c:v>61.53</c:v>
                </c:pt>
                <c:pt idx="48">
                  <c:v>61.53</c:v>
                </c:pt>
                <c:pt idx="49">
                  <c:v>61.67</c:v>
                </c:pt>
                <c:pt idx="50">
                  <c:v>63.31</c:v>
                </c:pt>
                <c:pt idx="51">
                  <c:v>63.39</c:v>
                </c:pt>
                <c:pt idx="52">
                  <c:v>63.49</c:v>
                </c:pt>
                <c:pt idx="53">
                  <c:v>64.59</c:v>
                </c:pt>
                <c:pt idx="54">
                  <c:v>65.11</c:v>
                </c:pt>
                <c:pt idx="55">
                  <c:v>65.72</c:v>
                </c:pt>
                <c:pt idx="56">
                  <c:v>66.52</c:v>
                </c:pt>
                <c:pt idx="57">
                  <c:v>66.899999999999991</c:v>
                </c:pt>
                <c:pt idx="58">
                  <c:v>67.260000000000005</c:v>
                </c:pt>
                <c:pt idx="59">
                  <c:v>67.599999999999994</c:v>
                </c:pt>
                <c:pt idx="60">
                  <c:v>68.319999999999993</c:v>
                </c:pt>
                <c:pt idx="61">
                  <c:v>68.959999999999994</c:v>
                </c:pt>
                <c:pt idx="62">
                  <c:v>70.5</c:v>
                </c:pt>
                <c:pt idx="63">
                  <c:v>70.66</c:v>
                </c:pt>
                <c:pt idx="64">
                  <c:v>71.14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B-4AB6-937F-45EA8DCBD22F}"/>
            </c:ext>
          </c:extLst>
        </c:ser>
        <c:ser>
          <c:idx val="1"/>
          <c:order val="1"/>
          <c:tx>
            <c:strRef>
              <c:f>'study base'!$I$5</c:f>
              <c:strCache>
                <c:ptCount val="1"/>
                <c:pt idx="0">
                  <c:v>City Of Grand Haven (Combined)</c:v>
                </c:pt>
              </c:strCache>
            </c:strRef>
          </c:tx>
          <c:invertIfNegative val="0"/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base'!$I$7:$I$71</c:f>
              <c:numCache>
                <c:formatCode>General</c:formatCode>
                <c:ptCount val="65"/>
                <c:pt idx="15" formatCode="_(* #,##0.00_);_(* \(#,##0.00\);_(* &quot;-&quot;??_);_(@_)">
                  <c:v>47.68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B-4AB6-937F-45EA8DCBD22F}"/>
            </c:ext>
          </c:extLst>
        </c:ser>
        <c:ser>
          <c:idx val="2"/>
          <c:order val="2"/>
          <c:tx>
            <c:strRef>
              <c:f>'study base'!$L$5</c:f>
              <c:strCache>
                <c:ptCount val="1"/>
                <c:pt idx="0">
                  <c:v>Tri Cities Local Gov'ts (Combined)</c:v>
                </c:pt>
              </c:strCache>
            </c:strRef>
          </c:tx>
          <c:invertIfNegative val="0"/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base'!$L$7:$L$71</c:f>
              <c:numCache>
                <c:formatCode>General</c:formatCode>
                <c:ptCount val="65"/>
                <c:pt idx="12" formatCode="_(* #,##0.00_);_(* \(#,##0.00\);_(* &quot;-&quot;??_);_(@_)">
                  <c:v>44.480000000000004</c:v>
                </c:pt>
                <c:pt idx="31" formatCode="_(* #,##0.00_);_(* \(#,##0.00\);_(* &quot;-&quot;??_);_(@_)">
                  <c:v>56.33</c:v>
                </c:pt>
                <c:pt idx="38" formatCode="_(* #,##0.00_);_(* \(#,##0.00\);_(* &quot;-&quot;??_);_(@_)">
                  <c:v>57.67</c:v>
                </c:pt>
                <c:pt idx="43" formatCode="_(* #,##0.00_);_(* \(#,##0.00\);_(* &quot;-&quot;??_);_(@_)">
                  <c:v>59.75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9B-4AB6-937F-45EA8DCBD22F}"/>
            </c:ext>
          </c:extLst>
        </c:ser>
        <c:ser>
          <c:idx val="3"/>
          <c:order val="3"/>
          <c:tx>
            <c:strRef>
              <c:f>'study base'!$J$5</c:f>
              <c:strCache>
                <c:ptCount val="1"/>
                <c:pt idx="0">
                  <c:v>City Of Grand Haven (Projected)</c:v>
                </c:pt>
              </c:strCache>
            </c:strRef>
          </c:tx>
          <c:invertIfNegative val="0"/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base'!$J$7:$J$71</c:f>
              <c:numCache>
                <c:formatCode>General</c:formatCode>
                <c:ptCount val="65"/>
                <c:pt idx="19" formatCode="_(* #,##0.00_);_(* \(#,##0.00\);_(* &quot;-&quot;??_);_(@_)">
                  <c:v>50.150000000000006</c:v>
                </c:pt>
                <c:pt idx="21" formatCode="_(* #,##0.00_);_(* \(#,##0.00\);_(* &quot;-&quot;??_);_(@_)">
                  <c:v>51.66</c:v>
                </c:pt>
                <c:pt idx="26" formatCode="_(* #,##0.00_);_(* \(#,##0.00\);_(* &quot;-&quot;??_);_(@_)">
                  <c:v>54.239999999999995</c:v>
                </c:pt>
                <c:pt idx="28" formatCode="_(* #,##0.00_);_(* \(#,##0.00\);_(* &quot;-&quot;??_);_(@_)">
                  <c:v>55.879999999999995</c:v>
                </c:pt>
                <c:pt idx="40" formatCode="_(* #,##0.00_);_(* \(#,##0.00\);_(* &quot;-&quot;??_);_(@_)">
                  <c:v>58.570000000000007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9B-4AB6-937F-45EA8DCBD22F}"/>
            </c:ext>
          </c:extLst>
        </c:ser>
        <c:ser>
          <c:idx val="4"/>
          <c:order val="4"/>
          <c:tx>
            <c:strRef>
              <c:f>'study base'!$K$5</c:f>
              <c:strCache>
                <c:ptCount val="1"/>
                <c:pt idx="0">
                  <c:v>Local Unit Plus 5 Years Projected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A9B-4AB6-937F-45EA8DCBD22F}"/>
              </c:ext>
            </c:extLst>
          </c:dPt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base'!$K$7:$K$71</c:f>
              <c:numCache>
                <c:formatCode>General</c:formatCode>
                <c:ptCount val="65"/>
                <c:pt idx="55" formatCode="_(* #,##0.00_);_(* \(#,##0.00\);_(* &quot;-&quot;??_);_(@_)">
                  <c:v>65.72</c:v>
                </c:pt>
                <c:pt idx="57" formatCode="_(* #,##0.00_);_(* \(#,##0.00\);_(* &quot;-&quot;??_);_(@_)">
                  <c:v>66.899999999999991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9B-4AB6-937F-45EA8DCBD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049216"/>
        <c:axId val="159050752"/>
      </c:barChart>
      <c:lineChart>
        <c:grouping val="standard"/>
        <c:varyColors val="0"/>
        <c:ser>
          <c:idx val="5"/>
          <c:order val="5"/>
          <c:tx>
            <c:v>Total Combined Cost</c:v>
          </c:tx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none"/>
          </c:marker>
          <c:val>
            <c:numRef>
              <c:f>'study base'!$F$7:$F$71</c:f>
              <c:numCache>
                <c:formatCode>_(* #,##0.00_);_(* \(#,##0.00\);_(* "-"??_);_(@_)</c:formatCode>
                <c:ptCount val="65"/>
                <c:pt idx="1">
                  <c:v>21.299999999999997</c:v>
                </c:pt>
                <c:pt idx="2">
                  <c:v>22.1</c:v>
                </c:pt>
                <c:pt idx="3">
                  <c:v>23.36</c:v>
                </c:pt>
                <c:pt idx="4">
                  <c:v>24.42</c:v>
                </c:pt>
                <c:pt idx="5">
                  <c:v>31.67</c:v>
                </c:pt>
                <c:pt idx="6">
                  <c:v>32.549999999999997</c:v>
                </c:pt>
                <c:pt idx="7">
                  <c:v>33.53</c:v>
                </c:pt>
                <c:pt idx="8">
                  <c:v>35.299999999999997</c:v>
                </c:pt>
                <c:pt idx="9">
                  <c:v>36.35</c:v>
                </c:pt>
                <c:pt idx="10">
                  <c:v>37.08</c:v>
                </c:pt>
                <c:pt idx="11">
                  <c:v>40.549999999999997</c:v>
                </c:pt>
                <c:pt idx="12">
                  <c:v>44.480000000000004</c:v>
                </c:pt>
                <c:pt idx="13">
                  <c:v>46.32</c:v>
                </c:pt>
                <c:pt idx="14">
                  <c:v>47.04</c:v>
                </c:pt>
                <c:pt idx="15">
                  <c:v>47.68</c:v>
                </c:pt>
                <c:pt idx="16">
                  <c:v>49.3</c:v>
                </c:pt>
                <c:pt idx="17">
                  <c:v>49.65</c:v>
                </c:pt>
                <c:pt idx="18">
                  <c:v>50.04</c:v>
                </c:pt>
                <c:pt idx="19">
                  <c:v>50.150000000000006</c:v>
                </c:pt>
                <c:pt idx="20">
                  <c:v>51</c:v>
                </c:pt>
                <c:pt idx="21">
                  <c:v>51.66</c:v>
                </c:pt>
                <c:pt idx="22">
                  <c:v>51.769999999999996</c:v>
                </c:pt>
                <c:pt idx="23">
                  <c:v>52.97</c:v>
                </c:pt>
                <c:pt idx="24">
                  <c:v>52.989999999999995</c:v>
                </c:pt>
                <c:pt idx="25">
                  <c:v>53.08</c:v>
                </c:pt>
                <c:pt idx="26">
                  <c:v>54.239999999999995</c:v>
                </c:pt>
                <c:pt idx="27">
                  <c:v>54.789999999999992</c:v>
                </c:pt>
                <c:pt idx="28">
                  <c:v>55.879999999999995</c:v>
                </c:pt>
                <c:pt idx="29">
                  <c:v>56</c:v>
                </c:pt>
                <c:pt idx="30">
                  <c:v>56.1</c:v>
                </c:pt>
                <c:pt idx="31">
                  <c:v>56.33</c:v>
                </c:pt>
                <c:pt idx="32">
                  <c:v>56.449999999999996</c:v>
                </c:pt>
                <c:pt idx="33">
                  <c:v>57.11</c:v>
                </c:pt>
                <c:pt idx="34">
                  <c:v>57.34</c:v>
                </c:pt>
                <c:pt idx="35">
                  <c:v>57.429998111999993</c:v>
                </c:pt>
                <c:pt idx="36">
                  <c:v>57.489999999999995</c:v>
                </c:pt>
                <c:pt idx="37">
                  <c:v>57.550000000000004</c:v>
                </c:pt>
                <c:pt idx="38">
                  <c:v>57.67</c:v>
                </c:pt>
                <c:pt idx="39">
                  <c:v>58.230000000000004</c:v>
                </c:pt>
                <c:pt idx="40">
                  <c:v>58.570000000000007</c:v>
                </c:pt>
                <c:pt idx="41">
                  <c:v>58.7</c:v>
                </c:pt>
                <c:pt idx="42">
                  <c:v>59.31</c:v>
                </c:pt>
                <c:pt idx="43">
                  <c:v>59.75</c:v>
                </c:pt>
                <c:pt idx="44">
                  <c:v>60.14</c:v>
                </c:pt>
                <c:pt idx="45">
                  <c:v>60.44</c:v>
                </c:pt>
                <c:pt idx="46">
                  <c:v>61.01</c:v>
                </c:pt>
                <c:pt idx="47">
                  <c:v>61.53</c:v>
                </c:pt>
                <c:pt idx="48">
                  <c:v>61.53</c:v>
                </c:pt>
                <c:pt idx="49">
                  <c:v>61.67</c:v>
                </c:pt>
                <c:pt idx="50">
                  <c:v>63.31</c:v>
                </c:pt>
                <c:pt idx="51">
                  <c:v>63.39</c:v>
                </c:pt>
                <c:pt idx="52">
                  <c:v>63.49</c:v>
                </c:pt>
                <c:pt idx="53">
                  <c:v>64.59</c:v>
                </c:pt>
                <c:pt idx="54">
                  <c:v>65.11</c:v>
                </c:pt>
                <c:pt idx="55">
                  <c:v>65.72</c:v>
                </c:pt>
                <c:pt idx="56">
                  <c:v>66.52</c:v>
                </c:pt>
                <c:pt idx="57">
                  <c:v>66.899999999999991</c:v>
                </c:pt>
                <c:pt idx="58">
                  <c:v>67.260000000000005</c:v>
                </c:pt>
                <c:pt idx="59">
                  <c:v>67.599999999999994</c:v>
                </c:pt>
                <c:pt idx="60">
                  <c:v>68.319999999999993</c:v>
                </c:pt>
                <c:pt idx="61">
                  <c:v>68.959999999999994</c:v>
                </c:pt>
                <c:pt idx="62">
                  <c:v>70.5</c:v>
                </c:pt>
                <c:pt idx="63">
                  <c:v>70.66</c:v>
                </c:pt>
                <c:pt idx="64">
                  <c:v>71.14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9B-4AB6-937F-45EA8DCBD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49216"/>
        <c:axId val="159050752"/>
      </c:lineChart>
      <c:catAx>
        <c:axId val="15904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600"/>
            </a:pPr>
            <a:endParaRPr lang="en-US"/>
          </a:p>
        </c:txPr>
        <c:crossAx val="159050752"/>
        <c:crosses val="autoZero"/>
        <c:auto val="1"/>
        <c:lblAlgn val="ctr"/>
        <c:lblOffset val="100"/>
        <c:noMultiLvlLbl val="0"/>
      </c:catAx>
      <c:valAx>
        <c:axId val="1590507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59049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857674229657209"/>
          <c:y val="8.7039170393519327E-2"/>
          <c:w val="0.68293671271743983"/>
          <c:h val="0.1187465264100014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25" l="0.25" r="0.25" t="0.25" header="0.25" footer="0.2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Combined Water &amp; Sewer Monthly Cost </a:t>
            </a:r>
            <a:r>
              <a:rPr lang="en-US" sz="1600" baseline="0"/>
              <a:t>- </a:t>
            </a:r>
            <a:r>
              <a:rPr lang="en-US" sz="1600"/>
              <a:t>6000 Gallons Each</a:t>
            </a:r>
          </a:p>
        </c:rich>
      </c:tx>
      <c:layout>
        <c:manualLayout>
          <c:xMode val="edge"/>
          <c:yMode val="edge"/>
          <c:x val="0.17545338271651958"/>
          <c:y val="2.50000054680676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90826451571602E-2"/>
          <c:y val="0.11441204925222589"/>
          <c:w val="0.87973401190704825"/>
          <c:h val="0.63110818703153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'study base'!$F$5</c:f>
              <c:strCache>
                <c:ptCount val="1"/>
                <c:pt idx="0">
                  <c:v> Combined Water &amp; Sewer Monthly Cost 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base'!$F$7:$F$71</c:f>
              <c:numCache>
                <c:formatCode>_(* #,##0.00_);_(* \(#,##0.00\);_(* "-"??_);_(@_)</c:formatCode>
                <c:ptCount val="65"/>
                <c:pt idx="1">
                  <c:v>21.299999999999997</c:v>
                </c:pt>
                <c:pt idx="2">
                  <c:v>22.1</c:v>
                </c:pt>
                <c:pt idx="3">
                  <c:v>23.36</c:v>
                </c:pt>
                <c:pt idx="4">
                  <c:v>24.42</c:v>
                </c:pt>
                <c:pt idx="5">
                  <c:v>31.67</c:v>
                </c:pt>
                <c:pt idx="6">
                  <c:v>32.549999999999997</c:v>
                </c:pt>
                <c:pt idx="7">
                  <c:v>33.53</c:v>
                </c:pt>
                <c:pt idx="8">
                  <c:v>35.299999999999997</c:v>
                </c:pt>
                <c:pt idx="9">
                  <c:v>36.35</c:v>
                </c:pt>
                <c:pt idx="10">
                  <c:v>37.08</c:v>
                </c:pt>
                <c:pt idx="11">
                  <c:v>40.549999999999997</c:v>
                </c:pt>
                <c:pt idx="12">
                  <c:v>44.480000000000004</c:v>
                </c:pt>
                <c:pt idx="13">
                  <c:v>46.32</c:v>
                </c:pt>
                <c:pt idx="14">
                  <c:v>47.04</c:v>
                </c:pt>
                <c:pt idx="15">
                  <c:v>47.68</c:v>
                </c:pt>
                <c:pt idx="16">
                  <c:v>49.3</c:v>
                </c:pt>
                <c:pt idx="17">
                  <c:v>49.65</c:v>
                </c:pt>
                <c:pt idx="18">
                  <c:v>50.04</c:v>
                </c:pt>
                <c:pt idx="19">
                  <c:v>50.150000000000006</c:v>
                </c:pt>
                <c:pt idx="20">
                  <c:v>51</c:v>
                </c:pt>
                <c:pt idx="21">
                  <c:v>51.66</c:v>
                </c:pt>
                <c:pt idx="22">
                  <c:v>51.769999999999996</c:v>
                </c:pt>
                <c:pt idx="23">
                  <c:v>52.97</c:v>
                </c:pt>
                <c:pt idx="24">
                  <c:v>52.989999999999995</c:v>
                </c:pt>
                <c:pt idx="25">
                  <c:v>53.08</c:v>
                </c:pt>
                <c:pt idx="26">
                  <c:v>54.239999999999995</c:v>
                </c:pt>
                <c:pt idx="27">
                  <c:v>54.789999999999992</c:v>
                </c:pt>
                <c:pt idx="28">
                  <c:v>55.879999999999995</c:v>
                </c:pt>
                <c:pt idx="29">
                  <c:v>56</c:v>
                </c:pt>
                <c:pt idx="30">
                  <c:v>56.1</c:v>
                </c:pt>
                <c:pt idx="31">
                  <c:v>56.33</c:v>
                </c:pt>
                <c:pt idx="32">
                  <c:v>56.449999999999996</c:v>
                </c:pt>
                <c:pt idx="33">
                  <c:v>57.11</c:v>
                </c:pt>
                <c:pt idx="34">
                  <c:v>57.34</c:v>
                </c:pt>
                <c:pt idx="35">
                  <c:v>57.429998111999993</c:v>
                </c:pt>
                <c:pt idx="36">
                  <c:v>57.489999999999995</c:v>
                </c:pt>
                <c:pt idx="37">
                  <c:v>57.550000000000004</c:v>
                </c:pt>
                <c:pt idx="38">
                  <c:v>57.67</c:v>
                </c:pt>
                <c:pt idx="39">
                  <c:v>58.230000000000004</c:v>
                </c:pt>
                <c:pt idx="40">
                  <c:v>58.570000000000007</c:v>
                </c:pt>
                <c:pt idx="41">
                  <c:v>58.7</c:v>
                </c:pt>
                <c:pt idx="42">
                  <c:v>59.31</c:v>
                </c:pt>
                <c:pt idx="43">
                  <c:v>59.75</c:v>
                </c:pt>
                <c:pt idx="44">
                  <c:v>60.14</c:v>
                </c:pt>
                <c:pt idx="45">
                  <c:v>60.44</c:v>
                </c:pt>
                <c:pt idx="46">
                  <c:v>61.01</c:v>
                </c:pt>
                <c:pt idx="47">
                  <c:v>61.53</c:v>
                </c:pt>
                <c:pt idx="48">
                  <c:v>61.53</c:v>
                </c:pt>
                <c:pt idx="49">
                  <c:v>61.67</c:v>
                </c:pt>
                <c:pt idx="50">
                  <c:v>63.31</c:v>
                </c:pt>
                <c:pt idx="51">
                  <c:v>63.39</c:v>
                </c:pt>
                <c:pt idx="52">
                  <c:v>63.49</c:v>
                </c:pt>
                <c:pt idx="53">
                  <c:v>64.59</c:v>
                </c:pt>
                <c:pt idx="54">
                  <c:v>65.11</c:v>
                </c:pt>
                <c:pt idx="55">
                  <c:v>65.72</c:v>
                </c:pt>
                <c:pt idx="56">
                  <c:v>66.52</c:v>
                </c:pt>
                <c:pt idx="57">
                  <c:v>66.899999999999991</c:v>
                </c:pt>
                <c:pt idx="58">
                  <c:v>67.260000000000005</c:v>
                </c:pt>
                <c:pt idx="59">
                  <c:v>67.599999999999994</c:v>
                </c:pt>
                <c:pt idx="60">
                  <c:v>68.319999999999993</c:v>
                </c:pt>
                <c:pt idx="61">
                  <c:v>68.959999999999994</c:v>
                </c:pt>
                <c:pt idx="62">
                  <c:v>70.5</c:v>
                </c:pt>
                <c:pt idx="63">
                  <c:v>70.66</c:v>
                </c:pt>
                <c:pt idx="64">
                  <c:v>71.14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0-4D56-960B-195C67F238C8}"/>
            </c:ext>
          </c:extLst>
        </c:ser>
        <c:ser>
          <c:idx val="1"/>
          <c:order val="1"/>
          <c:tx>
            <c:strRef>
              <c:f>'study base'!$I$5</c:f>
              <c:strCache>
                <c:ptCount val="1"/>
                <c:pt idx="0">
                  <c:v>City Of Grand Haven (Combined)</c:v>
                </c:pt>
              </c:strCache>
            </c:strRef>
          </c:tx>
          <c:invertIfNegative val="0"/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base'!$I$7:$I$71</c:f>
              <c:numCache>
                <c:formatCode>General</c:formatCode>
                <c:ptCount val="65"/>
                <c:pt idx="15" formatCode="_(* #,##0.00_);_(* \(#,##0.00\);_(* &quot;-&quot;??_);_(@_)">
                  <c:v>47.68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50-4D56-960B-195C67F238C8}"/>
            </c:ext>
          </c:extLst>
        </c:ser>
        <c:ser>
          <c:idx val="3"/>
          <c:order val="2"/>
          <c:tx>
            <c:strRef>
              <c:f>'study base'!$J$5</c:f>
              <c:strCache>
                <c:ptCount val="1"/>
                <c:pt idx="0">
                  <c:v>City Of Grand Haven (Projected)</c:v>
                </c:pt>
              </c:strCache>
            </c:strRef>
          </c:tx>
          <c:invertIfNegative val="0"/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base'!$J$7:$J$71</c:f>
              <c:numCache>
                <c:formatCode>General</c:formatCode>
                <c:ptCount val="65"/>
                <c:pt idx="19" formatCode="_(* #,##0.00_);_(* \(#,##0.00\);_(* &quot;-&quot;??_);_(@_)">
                  <c:v>50.150000000000006</c:v>
                </c:pt>
                <c:pt idx="21" formatCode="_(* #,##0.00_);_(* \(#,##0.00\);_(* &quot;-&quot;??_);_(@_)">
                  <c:v>51.66</c:v>
                </c:pt>
                <c:pt idx="26" formatCode="_(* #,##0.00_);_(* \(#,##0.00\);_(* &quot;-&quot;??_);_(@_)">
                  <c:v>54.239999999999995</c:v>
                </c:pt>
                <c:pt idx="28" formatCode="_(* #,##0.00_);_(* \(#,##0.00\);_(* &quot;-&quot;??_);_(@_)">
                  <c:v>55.879999999999995</c:v>
                </c:pt>
                <c:pt idx="40" formatCode="_(* #,##0.00_);_(* \(#,##0.00\);_(* &quot;-&quot;??_);_(@_)">
                  <c:v>58.570000000000007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50-4D56-960B-195C67F23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068928"/>
        <c:axId val="159070464"/>
      </c:barChart>
      <c:lineChart>
        <c:grouping val="standard"/>
        <c:varyColors val="0"/>
        <c:ser>
          <c:idx val="2"/>
          <c:order val="3"/>
          <c:tx>
            <c:v>Total Combined Cost</c:v>
          </c:tx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none"/>
          </c:marker>
          <c:val>
            <c:numRef>
              <c:f>'study base'!$F$7:$F$71</c:f>
              <c:numCache>
                <c:formatCode>_(* #,##0.00_);_(* \(#,##0.00\);_(* "-"??_);_(@_)</c:formatCode>
                <c:ptCount val="65"/>
                <c:pt idx="1">
                  <c:v>21.299999999999997</c:v>
                </c:pt>
                <c:pt idx="2">
                  <c:v>22.1</c:v>
                </c:pt>
                <c:pt idx="3">
                  <c:v>23.36</c:v>
                </c:pt>
                <c:pt idx="4">
                  <c:v>24.42</c:v>
                </c:pt>
                <c:pt idx="5">
                  <c:v>31.67</c:v>
                </c:pt>
                <c:pt idx="6">
                  <c:v>32.549999999999997</c:v>
                </c:pt>
                <c:pt idx="7">
                  <c:v>33.53</c:v>
                </c:pt>
                <c:pt idx="8">
                  <c:v>35.299999999999997</c:v>
                </c:pt>
                <c:pt idx="9">
                  <c:v>36.35</c:v>
                </c:pt>
                <c:pt idx="10">
                  <c:v>37.08</c:v>
                </c:pt>
                <c:pt idx="11">
                  <c:v>40.549999999999997</c:v>
                </c:pt>
                <c:pt idx="12">
                  <c:v>44.480000000000004</c:v>
                </c:pt>
                <c:pt idx="13">
                  <c:v>46.32</c:v>
                </c:pt>
                <c:pt idx="14">
                  <c:v>47.04</c:v>
                </c:pt>
                <c:pt idx="15">
                  <c:v>47.68</c:v>
                </c:pt>
                <c:pt idx="16">
                  <c:v>49.3</c:v>
                </c:pt>
                <c:pt idx="17">
                  <c:v>49.65</c:v>
                </c:pt>
                <c:pt idx="18">
                  <c:v>50.04</c:v>
                </c:pt>
                <c:pt idx="19">
                  <c:v>50.150000000000006</c:v>
                </c:pt>
                <c:pt idx="20">
                  <c:v>51</c:v>
                </c:pt>
                <c:pt idx="21">
                  <c:v>51.66</c:v>
                </c:pt>
                <c:pt idx="22">
                  <c:v>51.769999999999996</c:v>
                </c:pt>
                <c:pt idx="23">
                  <c:v>52.97</c:v>
                </c:pt>
                <c:pt idx="24">
                  <c:v>52.989999999999995</c:v>
                </c:pt>
                <c:pt idx="25">
                  <c:v>53.08</c:v>
                </c:pt>
                <c:pt idx="26">
                  <c:v>54.239999999999995</c:v>
                </c:pt>
                <c:pt idx="27">
                  <c:v>54.789999999999992</c:v>
                </c:pt>
                <c:pt idx="28">
                  <c:v>55.879999999999995</c:v>
                </c:pt>
                <c:pt idx="29">
                  <c:v>56</c:v>
                </c:pt>
                <c:pt idx="30">
                  <c:v>56.1</c:v>
                </c:pt>
                <c:pt idx="31">
                  <c:v>56.33</c:v>
                </c:pt>
                <c:pt idx="32">
                  <c:v>56.449999999999996</c:v>
                </c:pt>
                <c:pt idx="33">
                  <c:v>57.11</c:v>
                </c:pt>
                <c:pt idx="34">
                  <c:v>57.34</c:v>
                </c:pt>
                <c:pt idx="35">
                  <c:v>57.429998111999993</c:v>
                </c:pt>
                <c:pt idx="36">
                  <c:v>57.489999999999995</c:v>
                </c:pt>
                <c:pt idx="37">
                  <c:v>57.550000000000004</c:v>
                </c:pt>
                <c:pt idx="38">
                  <c:v>57.67</c:v>
                </c:pt>
                <c:pt idx="39">
                  <c:v>58.230000000000004</c:v>
                </c:pt>
                <c:pt idx="40">
                  <c:v>58.570000000000007</c:v>
                </c:pt>
                <c:pt idx="41">
                  <c:v>58.7</c:v>
                </c:pt>
                <c:pt idx="42">
                  <c:v>59.31</c:v>
                </c:pt>
                <c:pt idx="43">
                  <c:v>59.75</c:v>
                </c:pt>
                <c:pt idx="44">
                  <c:v>60.14</c:v>
                </c:pt>
                <c:pt idx="45">
                  <c:v>60.44</c:v>
                </c:pt>
                <c:pt idx="46">
                  <c:v>61.01</c:v>
                </c:pt>
                <c:pt idx="47">
                  <c:v>61.53</c:v>
                </c:pt>
                <c:pt idx="48">
                  <c:v>61.53</c:v>
                </c:pt>
                <c:pt idx="49">
                  <c:v>61.67</c:v>
                </c:pt>
                <c:pt idx="50">
                  <c:v>63.31</c:v>
                </c:pt>
                <c:pt idx="51">
                  <c:v>63.39</c:v>
                </c:pt>
                <c:pt idx="52">
                  <c:v>63.49</c:v>
                </c:pt>
                <c:pt idx="53">
                  <c:v>64.59</c:v>
                </c:pt>
                <c:pt idx="54">
                  <c:v>65.11</c:v>
                </c:pt>
                <c:pt idx="55">
                  <c:v>65.72</c:v>
                </c:pt>
                <c:pt idx="56">
                  <c:v>66.52</c:v>
                </c:pt>
                <c:pt idx="57">
                  <c:v>66.899999999999991</c:v>
                </c:pt>
                <c:pt idx="58">
                  <c:v>67.260000000000005</c:v>
                </c:pt>
                <c:pt idx="59">
                  <c:v>67.599999999999994</c:v>
                </c:pt>
                <c:pt idx="60">
                  <c:v>68.319999999999993</c:v>
                </c:pt>
                <c:pt idx="61">
                  <c:v>68.959999999999994</c:v>
                </c:pt>
                <c:pt idx="62">
                  <c:v>70.5</c:v>
                </c:pt>
                <c:pt idx="63">
                  <c:v>70.66</c:v>
                </c:pt>
                <c:pt idx="64">
                  <c:v>71.14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50-4D56-960B-195C67F23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68928"/>
        <c:axId val="159070464"/>
      </c:lineChart>
      <c:catAx>
        <c:axId val="15906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600"/>
            </a:pPr>
            <a:endParaRPr lang="en-US"/>
          </a:p>
        </c:txPr>
        <c:crossAx val="159070464"/>
        <c:crosses val="autoZero"/>
        <c:auto val="1"/>
        <c:lblAlgn val="ctr"/>
        <c:lblOffset val="100"/>
        <c:noMultiLvlLbl val="0"/>
      </c:catAx>
      <c:valAx>
        <c:axId val="1590704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59068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437279227641888"/>
          <c:y val="0.11481695424692789"/>
          <c:w val="0.65552840961385284"/>
          <c:h val="9.6293984316269537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25" l="0.25" r="0.25" t="0.25" header="0.25" footer="0.2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Combined Water &amp; Sewer Monthly Cost </a:t>
            </a:r>
            <a:r>
              <a:rPr lang="en-US" sz="1600" baseline="0"/>
              <a:t>- </a:t>
            </a:r>
            <a:r>
              <a:rPr lang="en-US" sz="1600"/>
              <a:t>6000 Gallons Each</a:t>
            </a:r>
          </a:p>
        </c:rich>
      </c:tx>
      <c:layout>
        <c:manualLayout>
          <c:xMode val="edge"/>
          <c:yMode val="edge"/>
          <c:x val="0.17545338271651958"/>
          <c:y val="2.50000054680676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90826451571602E-2"/>
          <c:y val="0.11441204925222589"/>
          <c:w val="0.87973401190704825"/>
          <c:h val="0.63110818703153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'study base'!$F$5</c:f>
              <c:strCache>
                <c:ptCount val="1"/>
                <c:pt idx="0">
                  <c:v> Combined Water &amp; Sewer Monthly Cost 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base'!$F$7:$F$71</c:f>
              <c:numCache>
                <c:formatCode>_(* #,##0.00_);_(* \(#,##0.00\);_(* "-"??_);_(@_)</c:formatCode>
                <c:ptCount val="65"/>
                <c:pt idx="1">
                  <c:v>21.299999999999997</c:v>
                </c:pt>
                <c:pt idx="2">
                  <c:v>22.1</c:v>
                </c:pt>
                <c:pt idx="3">
                  <c:v>23.36</c:v>
                </c:pt>
                <c:pt idx="4">
                  <c:v>24.42</c:v>
                </c:pt>
                <c:pt idx="5">
                  <c:v>31.67</c:v>
                </c:pt>
                <c:pt idx="6">
                  <c:v>32.549999999999997</c:v>
                </c:pt>
                <c:pt idx="7">
                  <c:v>33.53</c:v>
                </c:pt>
                <c:pt idx="8">
                  <c:v>35.299999999999997</c:v>
                </c:pt>
                <c:pt idx="9">
                  <c:v>36.35</c:v>
                </c:pt>
                <c:pt idx="10">
                  <c:v>37.08</c:v>
                </c:pt>
                <c:pt idx="11">
                  <c:v>40.549999999999997</c:v>
                </c:pt>
                <c:pt idx="12">
                  <c:v>44.480000000000004</c:v>
                </c:pt>
                <c:pt idx="13">
                  <c:v>46.32</c:v>
                </c:pt>
                <c:pt idx="14">
                  <c:v>47.04</c:v>
                </c:pt>
                <c:pt idx="15">
                  <c:v>47.68</c:v>
                </c:pt>
                <c:pt idx="16">
                  <c:v>49.3</c:v>
                </c:pt>
                <c:pt idx="17">
                  <c:v>49.65</c:v>
                </c:pt>
                <c:pt idx="18">
                  <c:v>50.04</c:v>
                </c:pt>
                <c:pt idx="19">
                  <c:v>50.150000000000006</c:v>
                </c:pt>
                <c:pt idx="20">
                  <c:v>51</c:v>
                </c:pt>
                <c:pt idx="21">
                  <c:v>51.66</c:v>
                </c:pt>
                <c:pt idx="22">
                  <c:v>51.769999999999996</c:v>
                </c:pt>
                <c:pt idx="23">
                  <c:v>52.97</c:v>
                </c:pt>
                <c:pt idx="24">
                  <c:v>52.989999999999995</c:v>
                </c:pt>
                <c:pt idx="25">
                  <c:v>53.08</c:v>
                </c:pt>
                <c:pt idx="26">
                  <c:v>54.239999999999995</c:v>
                </c:pt>
                <c:pt idx="27">
                  <c:v>54.789999999999992</c:v>
                </c:pt>
                <c:pt idx="28">
                  <c:v>55.879999999999995</c:v>
                </c:pt>
                <c:pt idx="29">
                  <c:v>56</c:v>
                </c:pt>
                <c:pt idx="30">
                  <c:v>56.1</c:v>
                </c:pt>
                <c:pt idx="31">
                  <c:v>56.33</c:v>
                </c:pt>
                <c:pt idx="32">
                  <c:v>56.449999999999996</c:v>
                </c:pt>
                <c:pt idx="33">
                  <c:v>57.11</c:v>
                </c:pt>
                <c:pt idx="34">
                  <c:v>57.34</c:v>
                </c:pt>
                <c:pt idx="35">
                  <c:v>57.429998111999993</c:v>
                </c:pt>
                <c:pt idx="36">
                  <c:v>57.489999999999995</c:v>
                </c:pt>
                <c:pt idx="37">
                  <c:v>57.550000000000004</c:v>
                </c:pt>
                <c:pt idx="38">
                  <c:v>57.67</c:v>
                </c:pt>
                <c:pt idx="39">
                  <c:v>58.230000000000004</c:v>
                </c:pt>
                <c:pt idx="40">
                  <c:v>58.570000000000007</c:v>
                </c:pt>
                <c:pt idx="41">
                  <c:v>58.7</c:v>
                </c:pt>
                <c:pt idx="42">
                  <c:v>59.31</c:v>
                </c:pt>
                <c:pt idx="43">
                  <c:v>59.75</c:v>
                </c:pt>
                <c:pt idx="44">
                  <c:v>60.14</c:v>
                </c:pt>
                <c:pt idx="45">
                  <c:v>60.44</c:v>
                </c:pt>
                <c:pt idx="46">
                  <c:v>61.01</c:v>
                </c:pt>
                <c:pt idx="47">
                  <c:v>61.53</c:v>
                </c:pt>
                <c:pt idx="48">
                  <c:v>61.53</c:v>
                </c:pt>
                <c:pt idx="49">
                  <c:v>61.67</c:v>
                </c:pt>
                <c:pt idx="50">
                  <c:v>63.31</c:v>
                </c:pt>
                <c:pt idx="51">
                  <c:v>63.39</c:v>
                </c:pt>
                <c:pt idx="52">
                  <c:v>63.49</c:v>
                </c:pt>
                <c:pt idx="53">
                  <c:v>64.59</c:v>
                </c:pt>
                <c:pt idx="54">
                  <c:v>65.11</c:v>
                </c:pt>
                <c:pt idx="55">
                  <c:v>65.72</c:v>
                </c:pt>
                <c:pt idx="56">
                  <c:v>66.52</c:v>
                </c:pt>
                <c:pt idx="57">
                  <c:v>66.899999999999991</c:v>
                </c:pt>
                <c:pt idx="58">
                  <c:v>67.260000000000005</c:v>
                </c:pt>
                <c:pt idx="59">
                  <c:v>67.599999999999994</c:v>
                </c:pt>
                <c:pt idx="60">
                  <c:v>68.319999999999993</c:v>
                </c:pt>
                <c:pt idx="61">
                  <c:v>68.959999999999994</c:v>
                </c:pt>
                <c:pt idx="62">
                  <c:v>70.5</c:v>
                </c:pt>
                <c:pt idx="63">
                  <c:v>70.66</c:v>
                </c:pt>
                <c:pt idx="64">
                  <c:v>71.14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B-4172-A529-CCDE3EE9180D}"/>
            </c:ext>
          </c:extLst>
        </c:ser>
        <c:ser>
          <c:idx val="1"/>
          <c:order val="1"/>
          <c:tx>
            <c:strRef>
              <c:f>'study base'!$I$5</c:f>
              <c:strCache>
                <c:ptCount val="1"/>
                <c:pt idx="0">
                  <c:v>City Of Grand Haven (Combined)</c:v>
                </c:pt>
              </c:strCache>
            </c:strRef>
          </c:tx>
          <c:invertIfNegative val="0"/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base'!$I$7:$I$71</c:f>
              <c:numCache>
                <c:formatCode>General</c:formatCode>
                <c:ptCount val="65"/>
                <c:pt idx="15" formatCode="_(* #,##0.00_);_(* \(#,##0.00\);_(* &quot;-&quot;??_);_(@_)">
                  <c:v>47.68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B-4172-A529-CCDE3EE91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095040"/>
        <c:axId val="159125504"/>
      </c:barChart>
      <c:lineChart>
        <c:grouping val="standard"/>
        <c:varyColors val="0"/>
        <c:ser>
          <c:idx val="2"/>
          <c:order val="2"/>
          <c:tx>
            <c:v>Total Combined Cost</c:v>
          </c:tx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none"/>
          </c:marker>
          <c:val>
            <c:numRef>
              <c:f>'study base'!$F$7:$F$71</c:f>
              <c:numCache>
                <c:formatCode>_(* #,##0.00_);_(* \(#,##0.00\);_(* "-"??_);_(@_)</c:formatCode>
                <c:ptCount val="65"/>
                <c:pt idx="1">
                  <c:v>21.299999999999997</c:v>
                </c:pt>
                <c:pt idx="2">
                  <c:v>22.1</c:v>
                </c:pt>
                <c:pt idx="3">
                  <c:v>23.36</c:v>
                </c:pt>
                <c:pt idx="4">
                  <c:v>24.42</c:v>
                </c:pt>
                <c:pt idx="5">
                  <c:v>31.67</c:v>
                </c:pt>
                <c:pt idx="6">
                  <c:v>32.549999999999997</c:v>
                </c:pt>
                <c:pt idx="7">
                  <c:v>33.53</c:v>
                </c:pt>
                <c:pt idx="8">
                  <c:v>35.299999999999997</c:v>
                </c:pt>
                <c:pt idx="9">
                  <c:v>36.35</c:v>
                </c:pt>
                <c:pt idx="10">
                  <c:v>37.08</c:v>
                </c:pt>
                <c:pt idx="11">
                  <c:v>40.549999999999997</c:v>
                </c:pt>
                <c:pt idx="12">
                  <c:v>44.480000000000004</c:v>
                </c:pt>
                <c:pt idx="13">
                  <c:v>46.32</c:v>
                </c:pt>
                <c:pt idx="14">
                  <c:v>47.04</c:v>
                </c:pt>
                <c:pt idx="15">
                  <c:v>47.68</c:v>
                </c:pt>
                <c:pt idx="16">
                  <c:v>49.3</c:v>
                </c:pt>
                <c:pt idx="17">
                  <c:v>49.65</c:v>
                </c:pt>
                <c:pt idx="18">
                  <c:v>50.04</c:v>
                </c:pt>
                <c:pt idx="19">
                  <c:v>50.150000000000006</c:v>
                </c:pt>
                <c:pt idx="20">
                  <c:v>51</c:v>
                </c:pt>
                <c:pt idx="21">
                  <c:v>51.66</c:v>
                </c:pt>
                <c:pt idx="22">
                  <c:v>51.769999999999996</c:v>
                </c:pt>
                <c:pt idx="23">
                  <c:v>52.97</c:v>
                </c:pt>
                <c:pt idx="24">
                  <c:v>52.989999999999995</c:v>
                </c:pt>
                <c:pt idx="25">
                  <c:v>53.08</c:v>
                </c:pt>
                <c:pt idx="26">
                  <c:v>54.239999999999995</c:v>
                </c:pt>
                <c:pt idx="27">
                  <c:v>54.789999999999992</c:v>
                </c:pt>
                <c:pt idx="28">
                  <c:v>55.879999999999995</c:v>
                </c:pt>
                <c:pt idx="29">
                  <c:v>56</c:v>
                </c:pt>
                <c:pt idx="30">
                  <c:v>56.1</c:v>
                </c:pt>
                <c:pt idx="31">
                  <c:v>56.33</c:v>
                </c:pt>
                <c:pt idx="32">
                  <c:v>56.449999999999996</c:v>
                </c:pt>
                <c:pt idx="33">
                  <c:v>57.11</c:v>
                </c:pt>
                <c:pt idx="34">
                  <c:v>57.34</c:v>
                </c:pt>
                <c:pt idx="35">
                  <c:v>57.429998111999993</c:v>
                </c:pt>
                <c:pt idx="36">
                  <c:v>57.489999999999995</c:v>
                </c:pt>
                <c:pt idx="37">
                  <c:v>57.550000000000004</c:v>
                </c:pt>
                <c:pt idx="38">
                  <c:v>57.67</c:v>
                </c:pt>
                <c:pt idx="39">
                  <c:v>58.230000000000004</c:v>
                </c:pt>
                <c:pt idx="40">
                  <c:v>58.570000000000007</c:v>
                </c:pt>
                <c:pt idx="41">
                  <c:v>58.7</c:v>
                </c:pt>
                <c:pt idx="42">
                  <c:v>59.31</c:v>
                </c:pt>
                <c:pt idx="43">
                  <c:v>59.75</c:v>
                </c:pt>
                <c:pt idx="44">
                  <c:v>60.14</c:v>
                </c:pt>
                <c:pt idx="45">
                  <c:v>60.44</c:v>
                </c:pt>
                <c:pt idx="46">
                  <c:v>61.01</c:v>
                </c:pt>
                <c:pt idx="47">
                  <c:v>61.53</c:v>
                </c:pt>
                <c:pt idx="48">
                  <c:v>61.53</c:v>
                </c:pt>
                <c:pt idx="49">
                  <c:v>61.67</c:v>
                </c:pt>
                <c:pt idx="50">
                  <c:v>63.31</c:v>
                </c:pt>
                <c:pt idx="51">
                  <c:v>63.39</c:v>
                </c:pt>
                <c:pt idx="52">
                  <c:v>63.49</c:v>
                </c:pt>
                <c:pt idx="53">
                  <c:v>64.59</c:v>
                </c:pt>
                <c:pt idx="54">
                  <c:v>65.11</c:v>
                </c:pt>
                <c:pt idx="55">
                  <c:v>65.72</c:v>
                </c:pt>
                <c:pt idx="56">
                  <c:v>66.52</c:v>
                </c:pt>
                <c:pt idx="57">
                  <c:v>66.899999999999991</c:v>
                </c:pt>
                <c:pt idx="58">
                  <c:v>67.260000000000005</c:v>
                </c:pt>
                <c:pt idx="59">
                  <c:v>67.599999999999994</c:v>
                </c:pt>
                <c:pt idx="60">
                  <c:v>68.319999999999993</c:v>
                </c:pt>
                <c:pt idx="61">
                  <c:v>68.959999999999994</c:v>
                </c:pt>
                <c:pt idx="62">
                  <c:v>70.5</c:v>
                </c:pt>
                <c:pt idx="63">
                  <c:v>70.66</c:v>
                </c:pt>
                <c:pt idx="64">
                  <c:v>71.14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2B-4172-A529-CCDE3EE91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95040"/>
        <c:axId val="159125504"/>
      </c:lineChart>
      <c:catAx>
        <c:axId val="15909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600"/>
            </a:pPr>
            <a:endParaRPr lang="en-US"/>
          </a:p>
        </c:txPr>
        <c:crossAx val="159125504"/>
        <c:crosses val="autoZero"/>
        <c:auto val="1"/>
        <c:lblAlgn val="ctr"/>
        <c:lblOffset val="100"/>
        <c:noMultiLvlLbl val="0"/>
      </c:catAx>
      <c:valAx>
        <c:axId val="15912550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59095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437279227641888"/>
          <c:y val="0.11481695424692789"/>
          <c:w val="0.86562720772358137"/>
          <c:h val="5.0230325947140421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25" l="0.25" r="0.25" t="0.25" header="0.25" footer="0.2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Combined Water &amp; Sewer Monthly Cost </a:t>
            </a:r>
            <a:r>
              <a:rPr lang="en-US" sz="1600" baseline="0"/>
              <a:t>- </a:t>
            </a:r>
            <a:r>
              <a:rPr lang="en-US" sz="1600"/>
              <a:t>6000 Gallons Each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90826451571602E-2"/>
          <c:y val="0.11441204925222589"/>
          <c:w val="0.87973401190704825"/>
          <c:h val="0.6894415331236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'study base'!$F$5</c:f>
              <c:strCache>
                <c:ptCount val="1"/>
                <c:pt idx="0">
                  <c:v> Combined Water &amp; Sewer Monthly Cost 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'study base'!$B$7:$B$141</c:f>
              <c:strCache>
                <c:ptCount val="134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  <c:pt idx="65">
                  <c:v>Village of Lake Orion</c:v>
                </c:pt>
                <c:pt idx="66">
                  <c:v>City of Evart</c:v>
                </c:pt>
                <c:pt idx="67">
                  <c:v>City of St. Louis</c:v>
                </c:pt>
                <c:pt idx="68">
                  <c:v>City of Richmond</c:v>
                </c:pt>
                <c:pt idx="69">
                  <c:v>City of Tawas City - email comments</c:v>
                </c:pt>
                <c:pt idx="70">
                  <c:v>City of North Muskegon 4/1/2016</c:v>
                </c:pt>
                <c:pt idx="71">
                  <c:v>City of Alpena</c:v>
                </c:pt>
                <c:pt idx="72">
                  <c:v>Oakland Charter Township</c:v>
                </c:pt>
                <c:pt idx="73">
                  <c:v>Village of Shelby</c:v>
                </c:pt>
                <c:pt idx="74">
                  <c:v>Village of Sparta</c:v>
                </c:pt>
                <c:pt idx="75">
                  <c:v>Village of Bellaire</c:v>
                </c:pt>
                <c:pt idx="76">
                  <c:v>Village of Brooklyn</c:v>
                </c:pt>
                <c:pt idx="77">
                  <c:v>City of Southfield</c:v>
                </c:pt>
                <c:pt idx="78">
                  <c:v>DeWitt Charter Township</c:v>
                </c:pt>
                <c:pt idx="79">
                  <c:v>City of Clare</c:v>
                </c:pt>
                <c:pt idx="80">
                  <c:v>City of Cedar Springs</c:v>
                </c:pt>
                <c:pt idx="81">
                  <c:v>Villae of Blissfield</c:v>
                </c:pt>
                <c:pt idx="82">
                  <c:v>City of Saline</c:v>
                </c:pt>
                <c:pt idx="83">
                  <c:v>City of Charlotte</c:v>
                </c:pt>
                <c:pt idx="84">
                  <c:v>City of Marshall</c:v>
                </c:pt>
                <c:pt idx="85">
                  <c:v>City of Rockford</c:v>
                </c:pt>
                <c:pt idx="86">
                  <c:v>City of Caro</c:v>
                </c:pt>
                <c:pt idx="87">
                  <c:v>Village of Barryton</c:v>
                </c:pt>
                <c:pt idx="88">
                  <c:v>City of Onaway</c:v>
                </c:pt>
                <c:pt idx="89">
                  <c:v>City of Frankfort</c:v>
                </c:pt>
                <c:pt idx="90">
                  <c:v>City of Birmingham</c:v>
                </c:pt>
                <c:pt idx="91">
                  <c:v>City of Rogers City</c:v>
                </c:pt>
                <c:pt idx="92">
                  <c:v>Village of Oxford</c:v>
                </c:pt>
                <c:pt idx="93">
                  <c:v>Village of Beverly Hills</c:v>
                </c:pt>
                <c:pt idx="94">
                  <c:v>City of Port Huron</c:v>
                </c:pt>
                <c:pt idx="95">
                  <c:v>City of Corunna</c:v>
                </c:pt>
                <c:pt idx="96">
                  <c:v>City of Jonesville</c:v>
                </c:pt>
                <c:pt idx="97">
                  <c:v>City of Crystal Falls</c:v>
                </c:pt>
                <c:pt idx="98">
                  <c:v>City of Clawson</c:v>
                </c:pt>
                <c:pt idx="99">
                  <c:v>City of Grand Blanc</c:v>
                </c:pt>
                <c:pt idx="100">
                  <c:v>City of Grand Ledge</c:v>
                </c:pt>
                <c:pt idx="101">
                  <c:v>Redford Township</c:v>
                </c:pt>
                <c:pt idx="102">
                  <c:v>City of Farmington</c:v>
                </c:pt>
                <c:pt idx="103">
                  <c:v>City of Dexter</c:v>
                </c:pt>
                <c:pt idx="104">
                  <c:v>China Township</c:v>
                </c:pt>
                <c:pt idx="105">
                  <c:v>City of Frankenmuth</c:v>
                </c:pt>
                <c:pt idx="106">
                  <c:v>Village of Grosse Pointe Shores</c:v>
                </c:pt>
                <c:pt idx="107">
                  <c:v>City of Flushing</c:v>
                </c:pt>
                <c:pt idx="108">
                  <c:v>City of Howell</c:v>
                </c:pt>
                <c:pt idx="109">
                  <c:v>Village of Elk Rapids</c:v>
                </c:pt>
                <c:pt idx="110">
                  <c:v>City of Scottville</c:v>
                </c:pt>
                <c:pt idx="111">
                  <c:v>Hartland Township</c:v>
                </c:pt>
                <c:pt idx="112">
                  <c:v>City of Pleasant Ridge</c:v>
                </c:pt>
                <c:pt idx="113">
                  <c:v>City of Burton</c:v>
                </c:pt>
                <c:pt idx="114">
                  <c:v>City of Mt. Morris</c:v>
                </c:pt>
                <c:pt idx="115">
                  <c:v>City of Sandusky</c:v>
                </c:pt>
                <c:pt idx="116">
                  <c:v>K. I Sawyer (Marquette County)</c:v>
                </c:pt>
                <c:pt idx="117">
                  <c:v>City of AuGres</c:v>
                </c:pt>
                <c:pt idx="118">
                  <c:v>City of Williamston</c:v>
                </c:pt>
                <c:pt idx="119">
                  <c:v>City of Chelsea - 3/4"</c:v>
                </c:pt>
                <c:pt idx="120">
                  <c:v>City of Mt Clemens</c:v>
                </c:pt>
                <c:pt idx="121">
                  <c:v>Village of Union City</c:v>
                </c:pt>
                <c:pt idx="122">
                  <c:v>City of Essexville</c:v>
                </c:pt>
                <c:pt idx="123">
                  <c:v>City of Sault Ste Marie</c:v>
                </c:pt>
                <c:pt idx="124">
                  <c:v>City of Davison</c:v>
                </c:pt>
                <c:pt idx="125">
                  <c:v>City of Chelsea - 1"</c:v>
                </c:pt>
                <c:pt idx="126">
                  <c:v>City of Fraser</c:v>
                </c:pt>
                <c:pt idx="127">
                  <c:v>City of Montrose</c:v>
                </c:pt>
                <c:pt idx="128">
                  <c:v>City of Norway</c:v>
                </c:pt>
                <c:pt idx="129">
                  <c:v>City of West Branch - offered help</c:v>
                </c:pt>
                <c:pt idx="130">
                  <c:v>City of Munising</c:v>
                </c:pt>
                <c:pt idx="131">
                  <c:v>Village of Ontonagon</c:v>
                </c:pt>
                <c:pt idx="132">
                  <c:v>City of Ishpeming</c:v>
                </c:pt>
                <c:pt idx="133">
                  <c:v>City of Negaunee</c:v>
                </c:pt>
              </c:strCache>
            </c:strRef>
          </c:cat>
          <c:val>
            <c:numRef>
              <c:f>'study base'!$F$7:$F$141</c:f>
              <c:numCache>
                <c:formatCode>_(* #,##0.00_);_(* \(#,##0.00\);_(* "-"??_);_(@_)</c:formatCode>
                <c:ptCount val="135"/>
                <c:pt idx="1">
                  <c:v>21.299999999999997</c:v>
                </c:pt>
                <c:pt idx="2">
                  <c:v>22.1</c:v>
                </c:pt>
                <c:pt idx="3">
                  <c:v>23.36</c:v>
                </c:pt>
                <c:pt idx="4">
                  <c:v>24.42</c:v>
                </c:pt>
                <c:pt idx="5">
                  <c:v>31.67</c:v>
                </c:pt>
                <c:pt idx="6">
                  <c:v>32.549999999999997</c:v>
                </c:pt>
                <c:pt idx="7">
                  <c:v>33.53</c:v>
                </c:pt>
                <c:pt idx="8">
                  <c:v>35.299999999999997</c:v>
                </c:pt>
                <c:pt idx="9">
                  <c:v>36.35</c:v>
                </c:pt>
                <c:pt idx="10">
                  <c:v>37.08</c:v>
                </c:pt>
                <c:pt idx="11">
                  <c:v>40.549999999999997</c:v>
                </c:pt>
                <c:pt idx="12">
                  <c:v>44.480000000000004</c:v>
                </c:pt>
                <c:pt idx="13">
                  <c:v>46.32</c:v>
                </c:pt>
                <c:pt idx="14">
                  <c:v>47.04</c:v>
                </c:pt>
                <c:pt idx="15">
                  <c:v>47.68</c:v>
                </c:pt>
                <c:pt idx="16">
                  <c:v>49.3</c:v>
                </c:pt>
                <c:pt idx="17">
                  <c:v>49.65</c:v>
                </c:pt>
                <c:pt idx="18">
                  <c:v>50.04</c:v>
                </c:pt>
                <c:pt idx="19">
                  <c:v>50.150000000000006</c:v>
                </c:pt>
                <c:pt idx="20">
                  <c:v>51</c:v>
                </c:pt>
                <c:pt idx="21">
                  <c:v>51.66</c:v>
                </c:pt>
                <c:pt idx="22">
                  <c:v>51.769999999999996</c:v>
                </c:pt>
                <c:pt idx="23">
                  <c:v>52.97</c:v>
                </c:pt>
                <c:pt idx="24">
                  <c:v>52.989999999999995</c:v>
                </c:pt>
                <c:pt idx="25">
                  <c:v>53.08</c:v>
                </c:pt>
                <c:pt idx="26">
                  <c:v>54.239999999999995</c:v>
                </c:pt>
                <c:pt idx="27">
                  <c:v>54.789999999999992</c:v>
                </c:pt>
                <c:pt idx="28">
                  <c:v>55.879999999999995</c:v>
                </c:pt>
                <c:pt idx="29">
                  <c:v>56</c:v>
                </c:pt>
                <c:pt idx="30">
                  <c:v>56.1</c:v>
                </c:pt>
                <c:pt idx="31">
                  <c:v>56.33</c:v>
                </c:pt>
                <c:pt idx="32">
                  <c:v>56.449999999999996</c:v>
                </c:pt>
                <c:pt idx="33">
                  <c:v>57.11</c:v>
                </c:pt>
                <c:pt idx="34">
                  <c:v>57.34</c:v>
                </c:pt>
                <c:pt idx="35">
                  <c:v>57.429998111999993</c:v>
                </c:pt>
                <c:pt idx="36">
                  <c:v>57.489999999999995</c:v>
                </c:pt>
                <c:pt idx="37">
                  <c:v>57.550000000000004</c:v>
                </c:pt>
                <c:pt idx="38">
                  <c:v>57.67</c:v>
                </c:pt>
                <c:pt idx="39">
                  <c:v>58.230000000000004</c:v>
                </c:pt>
                <c:pt idx="40">
                  <c:v>58.570000000000007</c:v>
                </c:pt>
                <c:pt idx="41">
                  <c:v>58.7</c:v>
                </c:pt>
                <c:pt idx="42">
                  <c:v>59.31</c:v>
                </c:pt>
                <c:pt idx="43">
                  <c:v>59.75</c:v>
                </c:pt>
                <c:pt idx="44">
                  <c:v>60.14</c:v>
                </c:pt>
                <c:pt idx="45">
                  <c:v>60.44</c:v>
                </c:pt>
                <c:pt idx="46">
                  <c:v>61.01</c:v>
                </c:pt>
                <c:pt idx="47">
                  <c:v>61.53</c:v>
                </c:pt>
                <c:pt idx="48">
                  <c:v>61.53</c:v>
                </c:pt>
                <c:pt idx="49">
                  <c:v>61.67</c:v>
                </c:pt>
                <c:pt idx="50">
                  <c:v>63.31</c:v>
                </c:pt>
                <c:pt idx="51">
                  <c:v>63.39</c:v>
                </c:pt>
                <c:pt idx="52">
                  <c:v>63.49</c:v>
                </c:pt>
                <c:pt idx="53">
                  <c:v>64.59</c:v>
                </c:pt>
                <c:pt idx="54">
                  <c:v>65.11</c:v>
                </c:pt>
                <c:pt idx="55">
                  <c:v>65.72</c:v>
                </c:pt>
                <c:pt idx="56">
                  <c:v>66.52</c:v>
                </c:pt>
                <c:pt idx="57">
                  <c:v>66.899999999999991</c:v>
                </c:pt>
                <c:pt idx="58">
                  <c:v>67.260000000000005</c:v>
                </c:pt>
                <c:pt idx="59">
                  <c:v>67.599999999999994</c:v>
                </c:pt>
                <c:pt idx="60">
                  <c:v>68.319999999999993</c:v>
                </c:pt>
                <c:pt idx="61">
                  <c:v>68.959999999999994</c:v>
                </c:pt>
                <c:pt idx="62">
                  <c:v>70.5</c:v>
                </c:pt>
                <c:pt idx="63">
                  <c:v>70.66</c:v>
                </c:pt>
                <c:pt idx="64">
                  <c:v>71.14</c:v>
                </c:pt>
                <c:pt idx="65">
                  <c:v>71.53</c:v>
                </c:pt>
                <c:pt idx="66">
                  <c:v>71.820000000000007</c:v>
                </c:pt>
                <c:pt idx="67">
                  <c:v>72.98</c:v>
                </c:pt>
                <c:pt idx="68">
                  <c:v>73.02000000000001</c:v>
                </c:pt>
                <c:pt idx="69">
                  <c:v>73.240000000000009</c:v>
                </c:pt>
                <c:pt idx="70">
                  <c:v>73.259999999999991</c:v>
                </c:pt>
                <c:pt idx="71">
                  <c:v>73.72</c:v>
                </c:pt>
                <c:pt idx="72">
                  <c:v>73.88</c:v>
                </c:pt>
                <c:pt idx="73">
                  <c:v>74.400000000000006</c:v>
                </c:pt>
                <c:pt idx="74">
                  <c:v>74.52</c:v>
                </c:pt>
                <c:pt idx="75">
                  <c:v>74.59</c:v>
                </c:pt>
                <c:pt idx="76">
                  <c:v>74.650000000000006</c:v>
                </c:pt>
                <c:pt idx="77">
                  <c:v>75.240000000000009</c:v>
                </c:pt>
                <c:pt idx="78">
                  <c:v>75.31</c:v>
                </c:pt>
                <c:pt idx="79">
                  <c:v>75.36</c:v>
                </c:pt>
                <c:pt idx="80">
                  <c:v>75.89</c:v>
                </c:pt>
                <c:pt idx="81">
                  <c:v>76.02</c:v>
                </c:pt>
                <c:pt idx="82">
                  <c:v>76.06</c:v>
                </c:pt>
                <c:pt idx="83">
                  <c:v>77.84</c:v>
                </c:pt>
                <c:pt idx="84">
                  <c:v>78.319999999999993</c:v>
                </c:pt>
                <c:pt idx="85">
                  <c:v>78.52</c:v>
                </c:pt>
                <c:pt idx="86">
                  <c:v>78.58</c:v>
                </c:pt>
                <c:pt idx="87">
                  <c:v>79</c:v>
                </c:pt>
                <c:pt idx="88">
                  <c:v>79.3</c:v>
                </c:pt>
                <c:pt idx="89">
                  <c:v>79.36</c:v>
                </c:pt>
                <c:pt idx="90">
                  <c:v>81.210000000000008</c:v>
                </c:pt>
                <c:pt idx="91">
                  <c:v>81.84</c:v>
                </c:pt>
                <c:pt idx="92">
                  <c:v>83.53</c:v>
                </c:pt>
                <c:pt idx="93">
                  <c:v>83.740000000000009</c:v>
                </c:pt>
                <c:pt idx="94">
                  <c:v>84.93</c:v>
                </c:pt>
                <c:pt idx="95">
                  <c:v>85.65</c:v>
                </c:pt>
                <c:pt idx="96">
                  <c:v>85.72</c:v>
                </c:pt>
                <c:pt idx="97">
                  <c:v>85.75</c:v>
                </c:pt>
                <c:pt idx="98">
                  <c:v>86.09</c:v>
                </c:pt>
                <c:pt idx="99">
                  <c:v>86.19</c:v>
                </c:pt>
                <c:pt idx="100">
                  <c:v>86.45</c:v>
                </c:pt>
                <c:pt idx="101">
                  <c:v>86.86999999999999</c:v>
                </c:pt>
                <c:pt idx="102">
                  <c:v>87.109999999999985</c:v>
                </c:pt>
                <c:pt idx="103">
                  <c:v>87.95</c:v>
                </c:pt>
                <c:pt idx="104">
                  <c:v>88.2</c:v>
                </c:pt>
                <c:pt idx="105">
                  <c:v>89.32</c:v>
                </c:pt>
                <c:pt idx="106">
                  <c:v>90.16</c:v>
                </c:pt>
                <c:pt idx="107">
                  <c:v>90.210000000000008</c:v>
                </c:pt>
                <c:pt idx="108">
                  <c:v>92.94</c:v>
                </c:pt>
                <c:pt idx="109">
                  <c:v>93.23</c:v>
                </c:pt>
                <c:pt idx="110">
                  <c:v>94.27</c:v>
                </c:pt>
                <c:pt idx="111">
                  <c:v>94.37</c:v>
                </c:pt>
                <c:pt idx="112">
                  <c:v>95.65</c:v>
                </c:pt>
                <c:pt idx="113">
                  <c:v>95.69</c:v>
                </c:pt>
                <c:pt idx="114">
                  <c:v>98.1</c:v>
                </c:pt>
                <c:pt idx="115">
                  <c:v>98.62</c:v>
                </c:pt>
                <c:pt idx="116">
                  <c:v>100.5</c:v>
                </c:pt>
                <c:pt idx="117">
                  <c:v>105.38</c:v>
                </c:pt>
                <c:pt idx="118">
                  <c:v>106.91</c:v>
                </c:pt>
                <c:pt idx="119">
                  <c:v>107.14</c:v>
                </c:pt>
                <c:pt idx="120">
                  <c:v>107.89999999999999</c:v>
                </c:pt>
                <c:pt idx="121">
                  <c:v>107.98</c:v>
                </c:pt>
                <c:pt idx="122">
                  <c:v>108.29</c:v>
                </c:pt>
                <c:pt idx="123">
                  <c:v>110.3</c:v>
                </c:pt>
                <c:pt idx="124">
                  <c:v>111.71000000000001</c:v>
                </c:pt>
                <c:pt idx="125">
                  <c:v>111.9</c:v>
                </c:pt>
                <c:pt idx="126">
                  <c:v>112.86000000000001</c:v>
                </c:pt>
                <c:pt idx="127">
                  <c:v>115.6</c:v>
                </c:pt>
                <c:pt idx="128">
                  <c:v>118</c:v>
                </c:pt>
                <c:pt idx="129">
                  <c:v>124.46000000000001</c:v>
                </c:pt>
                <c:pt idx="130">
                  <c:v>130.88999999999999</c:v>
                </c:pt>
                <c:pt idx="131">
                  <c:v>133</c:v>
                </c:pt>
                <c:pt idx="132">
                  <c:v>137.63999999999999</c:v>
                </c:pt>
                <c:pt idx="133">
                  <c:v>153.59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0-4D6B-8552-68584EC19392}"/>
            </c:ext>
          </c:extLst>
        </c:ser>
        <c:ser>
          <c:idx val="1"/>
          <c:order val="1"/>
          <c:tx>
            <c:strRef>
              <c:f>'study base'!$I$5</c:f>
              <c:strCache>
                <c:ptCount val="1"/>
                <c:pt idx="0">
                  <c:v>City Of Grand Haven (Combined)</c:v>
                </c:pt>
              </c:strCache>
            </c:strRef>
          </c:tx>
          <c:invertIfNegative val="0"/>
          <c:cat>
            <c:strRef>
              <c:f>'study base'!$B$7:$B$141</c:f>
              <c:strCache>
                <c:ptCount val="134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  <c:pt idx="65">
                  <c:v>Village of Lake Orion</c:v>
                </c:pt>
                <c:pt idx="66">
                  <c:v>City of Evart</c:v>
                </c:pt>
                <c:pt idx="67">
                  <c:v>City of St. Louis</c:v>
                </c:pt>
                <c:pt idx="68">
                  <c:v>City of Richmond</c:v>
                </c:pt>
                <c:pt idx="69">
                  <c:v>City of Tawas City - email comments</c:v>
                </c:pt>
                <c:pt idx="70">
                  <c:v>City of North Muskegon 4/1/2016</c:v>
                </c:pt>
                <c:pt idx="71">
                  <c:v>City of Alpena</c:v>
                </c:pt>
                <c:pt idx="72">
                  <c:v>Oakland Charter Township</c:v>
                </c:pt>
                <c:pt idx="73">
                  <c:v>Village of Shelby</c:v>
                </c:pt>
                <c:pt idx="74">
                  <c:v>Village of Sparta</c:v>
                </c:pt>
                <c:pt idx="75">
                  <c:v>Village of Bellaire</c:v>
                </c:pt>
                <c:pt idx="76">
                  <c:v>Village of Brooklyn</c:v>
                </c:pt>
                <c:pt idx="77">
                  <c:v>City of Southfield</c:v>
                </c:pt>
                <c:pt idx="78">
                  <c:v>DeWitt Charter Township</c:v>
                </c:pt>
                <c:pt idx="79">
                  <c:v>City of Clare</c:v>
                </c:pt>
                <c:pt idx="80">
                  <c:v>City of Cedar Springs</c:v>
                </c:pt>
                <c:pt idx="81">
                  <c:v>Villae of Blissfield</c:v>
                </c:pt>
                <c:pt idx="82">
                  <c:v>City of Saline</c:v>
                </c:pt>
                <c:pt idx="83">
                  <c:v>City of Charlotte</c:v>
                </c:pt>
                <c:pt idx="84">
                  <c:v>City of Marshall</c:v>
                </c:pt>
                <c:pt idx="85">
                  <c:v>City of Rockford</c:v>
                </c:pt>
                <c:pt idx="86">
                  <c:v>City of Caro</c:v>
                </c:pt>
                <c:pt idx="87">
                  <c:v>Village of Barryton</c:v>
                </c:pt>
                <c:pt idx="88">
                  <c:v>City of Onaway</c:v>
                </c:pt>
                <c:pt idx="89">
                  <c:v>City of Frankfort</c:v>
                </c:pt>
                <c:pt idx="90">
                  <c:v>City of Birmingham</c:v>
                </c:pt>
                <c:pt idx="91">
                  <c:v>City of Rogers City</c:v>
                </c:pt>
                <c:pt idx="92">
                  <c:v>Village of Oxford</c:v>
                </c:pt>
                <c:pt idx="93">
                  <c:v>Village of Beverly Hills</c:v>
                </c:pt>
                <c:pt idx="94">
                  <c:v>City of Port Huron</c:v>
                </c:pt>
                <c:pt idx="95">
                  <c:v>City of Corunna</c:v>
                </c:pt>
                <c:pt idx="96">
                  <c:v>City of Jonesville</c:v>
                </c:pt>
                <c:pt idx="97">
                  <c:v>City of Crystal Falls</c:v>
                </c:pt>
                <c:pt idx="98">
                  <c:v>City of Clawson</c:v>
                </c:pt>
                <c:pt idx="99">
                  <c:v>City of Grand Blanc</c:v>
                </c:pt>
                <c:pt idx="100">
                  <c:v>City of Grand Ledge</c:v>
                </c:pt>
                <c:pt idx="101">
                  <c:v>Redford Township</c:v>
                </c:pt>
                <c:pt idx="102">
                  <c:v>City of Farmington</c:v>
                </c:pt>
                <c:pt idx="103">
                  <c:v>City of Dexter</c:v>
                </c:pt>
                <c:pt idx="104">
                  <c:v>China Township</c:v>
                </c:pt>
                <c:pt idx="105">
                  <c:v>City of Frankenmuth</c:v>
                </c:pt>
                <c:pt idx="106">
                  <c:v>Village of Grosse Pointe Shores</c:v>
                </c:pt>
                <c:pt idx="107">
                  <c:v>City of Flushing</c:v>
                </c:pt>
                <c:pt idx="108">
                  <c:v>City of Howell</c:v>
                </c:pt>
                <c:pt idx="109">
                  <c:v>Village of Elk Rapids</c:v>
                </c:pt>
                <c:pt idx="110">
                  <c:v>City of Scottville</c:v>
                </c:pt>
                <c:pt idx="111">
                  <c:v>Hartland Township</c:v>
                </c:pt>
                <c:pt idx="112">
                  <c:v>City of Pleasant Ridge</c:v>
                </c:pt>
                <c:pt idx="113">
                  <c:v>City of Burton</c:v>
                </c:pt>
                <c:pt idx="114">
                  <c:v>City of Mt. Morris</c:v>
                </c:pt>
                <c:pt idx="115">
                  <c:v>City of Sandusky</c:v>
                </c:pt>
                <c:pt idx="116">
                  <c:v>K. I Sawyer (Marquette County)</c:v>
                </c:pt>
                <c:pt idx="117">
                  <c:v>City of AuGres</c:v>
                </c:pt>
                <c:pt idx="118">
                  <c:v>City of Williamston</c:v>
                </c:pt>
                <c:pt idx="119">
                  <c:v>City of Chelsea - 3/4"</c:v>
                </c:pt>
                <c:pt idx="120">
                  <c:v>City of Mt Clemens</c:v>
                </c:pt>
                <c:pt idx="121">
                  <c:v>Village of Union City</c:v>
                </c:pt>
                <c:pt idx="122">
                  <c:v>City of Essexville</c:v>
                </c:pt>
                <c:pt idx="123">
                  <c:v>City of Sault Ste Marie</c:v>
                </c:pt>
                <c:pt idx="124">
                  <c:v>City of Davison</c:v>
                </c:pt>
                <c:pt idx="125">
                  <c:v>City of Chelsea - 1"</c:v>
                </c:pt>
                <c:pt idx="126">
                  <c:v>City of Fraser</c:v>
                </c:pt>
                <c:pt idx="127">
                  <c:v>City of Montrose</c:v>
                </c:pt>
                <c:pt idx="128">
                  <c:v>City of Norway</c:v>
                </c:pt>
                <c:pt idx="129">
                  <c:v>City of West Branch - offered help</c:v>
                </c:pt>
                <c:pt idx="130">
                  <c:v>City of Munising</c:v>
                </c:pt>
                <c:pt idx="131">
                  <c:v>Village of Ontonagon</c:v>
                </c:pt>
                <c:pt idx="132">
                  <c:v>City of Ishpeming</c:v>
                </c:pt>
                <c:pt idx="133">
                  <c:v>City of Negaunee</c:v>
                </c:pt>
              </c:strCache>
            </c:strRef>
          </c:cat>
          <c:val>
            <c:numRef>
              <c:f>'study base'!$I$7:$I$141</c:f>
              <c:numCache>
                <c:formatCode>General</c:formatCode>
                <c:ptCount val="135"/>
                <c:pt idx="15" formatCode="_(* #,##0.00_);_(* \(#,##0.00\);_(* &quot;-&quot;??_);_(@_)">
                  <c:v>47.68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0-4D6B-8552-68584EC19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195904"/>
        <c:axId val="159197440"/>
      </c:barChart>
      <c:lineChart>
        <c:grouping val="standard"/>
        <c:varyColors val="0"/>
        <c:ser>
          <c:idx val="2"/>
          <c:order val="2"/>
          <c:tx>
            <c:v>Total Combined Cost</c:v>
          </c:tx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'study base'!$B$7:$B$141</c:f>
              <c:strCache>
                <c:ptCount val="134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  <c:pt idx="65">
                  <c:v>Village of Lake Orion</c:v>
                </c:pt>
                <c:pt idx="66">
                  <c:v>City of Evart</c:v>
                </c:pt>
                <c:pt idx="67">
                  <c:v>City of St. Louis</c:v>
                </c:pt>
                <c:pt idx="68">
                  <c:v>City of Richmond</c:v>
                </c:pt>
                <c:pt idx="69">
                  <c:v>City of Tawas City - email comments</c:v>
                </c:pt>
                <c:pt idx="70">
                  <c:v>City of North Muskegon 4/1/2016</c:v>
                </c:pt>
                <c:pt idx="71">
                  <c:v>City of Alpena</c:v>
                </c:pt>
                <c:pt idx="72">
                  <c:v>Oakland Charter Township</c:v>
                </c:pt>
                <c:pt idx="73">
                  <c:v>Village of Shelby</c:v>
                </c:pt>
                <c:pt idx="74">
                  <c:v>Village of Sparta</c:v>
                </c:pt>
                <c:pt idx="75">
                  <c:v>Village of Bellaire</c:v>
                </c:pt>
                <c:pt idx="76">
                  <c:v>Village of Brooklyn</c:v>
                </c:pt>
                <c:pt idx="77">
                  <c:v>City of Southfield</c:v>
                </c:pt>
                <c:pt idx="78">
                  <c:v>DeWitt Charter Township</c:v>
                </c:pt>
                <c:pt idx="79">
                  <c:v>City of Clare</c:v>
                </c:pt>
                <c:pt idx="80">
                  <c:v>City of Cedar Springs</c:v>
                </c:pt>
                <c:pt idx="81">
                  <c:v>Villae of Blissfield</c:v>
                </c:pt>
                <c:pt idx="82">
                  <c:v>City of Saline</c:v>
                </c:pt>
                <c:pt idx="83">
                  <c:v>City of Charlotte</c:v>
                </c:pt>
                <c:pt idx="84">
                  <c:v>City of Marshall</c:v>
                </c:pt>
                <c:pt idx="85">
                  <c:v>City of Rockford</c:v>
                </c:pt>
                <c:pt idx="86">
                  <c:v>City of Caro</c:v>
                </c:pt>
                <c:pt idx="87">
                  <c:v>Village of Barryton</c:v>
                </c:pt>
                <c:pt idx="88">
                  <c:v>City of Onaway</c:v>
                </c:pt>
                <c:pt idx="89">
                  <c:v>City of Frankfort</c:v>
                </c:pt>
                <c:pt idx="90">
                  <c:v>City of Birmingham</c:v>
                </c:pt>
                <c:pt idx="91">
                  <c:v>City of Rogers City</c:v>
                </c:pt>
                <c:pt idx="92">
                  <c:v>Village of Oxford</c:v>
                </c:pt>
                <c:pt idx="93">
                  <c:v>Village of Beverly Hills</c:v>
                </c:pt>
                <c:pt idx="94">
                  <c:v>City of Port Huron</c:v>
                </c:pt>
                <c:pt idx="95">
                  <c:v>City of Corunna</c:v>
                </c:pt>
                <c:pt idx="96">
                  <c:v>City of Jonesville</c:v>
                </c:pt>
                <c:pt idx="97">
                  <c:v>City of Crystal Falls</c:v>
                </c:pt>
                <c:pt idx="98">
                  <c:v>City of Clawson</c:v>
                </c:pt>
                <c:pt idx="99">
                  <c:v>City of Grand Blanc</c:v>
                </c:pt>
                <c:pt idx="100">
                  <c:v>City of Grand Ledge</c:v>
                </c:pt>
                <c:pt idx="101">
                  <c:v>Redford Township</c:v>
                </c:pt>
                <c:pt idx="102">
                  <c:v>City of Farmington</c:v>
                </c:pt>
                <c:pt idx="103">
                  <c:v>City of Dexter</c:v>
                </c:pt>
                <c:pt idx="104">
                  <c:v>China Township</c:v>
                </c:pt>
                <c:pt idx="105">
                  <c:v>City of Frankenmuth</c:v>
                </c:pt>
                <c:pt idx="106">
                  <c:v>Village of Grosse Pointe Shores</c:v>
                </c:pt>
                <c:pt idx="107">
                  <c:v>City of Flushing</c:v>
                </c:pt>
                <c:pt idx="108">
                  <c:v>City of Howell</c:v>
                </c:pt>
                <c:pt idx="109">
                  <c:v>Village of Elk Rapids</c:v>
                </c:pt>
                <c:pt idx="110">
                  <c:v>City of Scottville</c:v>
                </c:pt>
                <c:pt idx="111">
                  <c:v>Hartland Township</c:v>
                </c:pt>
                <c:pt idx="112">
                  <c:v>City of Pleasant Ridge</c:v>
                </c:pt>
                <c:pt idx="113">
                  <c:v>City of Burton</c:v>
                </c:pt>
                <c:pt idx="114">
                  <c:v>City of Mt. Morris</c:v>
                </c:pt>
                <c:pt idx="115">
                  <c:v>City of Sandusky</c:v>
                </c:pt>
                <c:pt idx="116">
                  <c:v>K. I Sawyer (Marquette County)</c:v>
                </c:pt>
                <c:pt idx="117">
                  <c:v>City of AuGres</c:v>
                </c:pt>
                <c:pt idx="118">
                  <c:v>City of Williamston</c:v>
                </c:pt>
                <c:pt idx="119">
                  <c:v>City of Chelsea - 3/4"</c:v>
                </c:pt>
                <c:pt idx="120">
                  <c:v>City of Mt Clemens</c:v>
                </c:pt>
                <c:pt idx="121">
                  <c:v>Village of Union City</c:v>
                </c:pt>
                <c:pt idx="122">
                  <c:v>City of Essexville</c:v>
                </c:pt>
                <c:pt idx="123">
                  <c:v>City of Sault Ste Marie</c:v>
                </c:pt>
                <c:pt idx="124">
                  <c:v>City of Davison</c:v>
                </c:pt>
                <c:pt idx="125">
                  <c:v>City of Chelsea - 1"</c:v>
                </c:pt>
                <c:pt idx="126">
                  <c:v>City of Fraser</c:v>
                </c:pt>
                <c:pt idx="127">
                  <c:v>City of Montrose</c:v>
                </c:pt>
                <c:pt idx="128">
                  <c:v>City of Norway</c:v>
                </c:pt>
                <c:pt idx="129">
                  <c:v>City of West Branch - offered help</c:v>
                </c:pt>
                <c:pt idx="130">
                  <c:v>City of Munising</c:v>
                </c:pt>
                <c:pt idx="131">
                  <c:v>Village of Ontonagon</c:v>
                </c:pt>
                <c:pt idx="132">
                  <c:v>City of Ishpeming</c:v>
                </c:pt>
                <c:pt idx="133">
                  <c:v>City of Negaunee</c:v>
                </c:pt>
              </c:strCache>
            </c:strRef>
          </c:cat>
          <c:val>
            <c:numRef>
              <c:f>'study base'!$F$7:$F$141</c:f>
              <c:numCache>
                <c:formatCode>_(* #,##0.00_);_(* \(#,##0.00\);_(* "-"??_);_(@_)</c:formatCode>
                <c:ptCount val="135"/>
                <c:pt idx="1">
                  <c:v>21.299999999999997</c:v>
                </c:pt>
                <c:pt idx="2">
                  <c:v>22.1</c:v>
                </c:pt>
                <c:pt idx="3">
                  <c:v>23.36</c:v>
                </c:pt>
                <c:pt idx="4">
                  <c:v>24.42</c:v>
                </c:pt>
                <c:pt idx="5">
                  <c:v>31.67</c:v>
                </c:pt>
                <c:pt idx="6">
                  <c:v>32.549999999999997</c:v>
                </c:pt>
                <c:pt idx="7">
                  <c:v>33.53</c:v>
                </c:pt>
                <c:pt idx="8">
                  <c:v>35.299999999999997</c:v>
                </c:pt>
                <c:pt idx="9">
                  <c:v>36.35</c:v>
                </c:pt>
                <c:pt idx="10">
                  <c:v>37.08</c:v>
                </c:pt>
                <c:pt idx="11">
                  <c:v>40.549999999999997</c:v>
                </c:pt>
                <c:pt idx="12">
                  <c:v>44.480000000000004</c:v>
                </c:pt>
                <c:pt idx="13">
                  <c:v>46.32</c:v>
                </c:pt>
                <c:pt idx="14">
                  <c:v>47.04</c:v>
                </c:pt>
                <c:pt idx="15">
                  <c:v>47.68</c:v>
                </c:pt>
                <c:pt idx="16">
                  <c:v>49.3</c:v>
                </c:pt>
                <c:pt idx="17">
                  <c:v>49.65</c:v>
                </c:pt>
                <c:pt idx="18">
                  <c:v>50.04</c:v>
                </c:pt>
                <c:pt idx="19">
                  <c:v>50.150000000000006</c:v>
                </c:pt>
                <c:pt idx="20">
                  <c:v>51</c:v>
                </c:pt>
                <c:pt idx="21">
                  <c:v>51.66</c:v>
                </c:pt>
                <c:pt idx="22">
                  <c:v>51.769999999999996</c:v>
                </c:pt>
                <c:pt idx="23">
                  <c:v>52.97</c:v>
                </c:pt>
                <c:pt idx="24">
                  <c:v>52.989999999999995</c:v>
                </c:pt>
                <c:pt idx="25">
                  <c:v>53.08</c:v>
                </c:pt>
                <c:pt idx="26">
                  <c:v>54.239999999999995</c:v>
                </c:pt>
                <c:pt idx="27">
                  <c:v>54.789999999999992</c:v>
                </c:pt>
                <c:pt idx="28">
                  <c:v>55.879999999999995</c:v>
                </c:pt>
                <c:pt idx="29">
                  <c:v>56</c:v>
                </c:pt>
                <c:pt idx="30">
                  <c:v>56.1</c:v>
                </c:pt>
                <c:pt idx="31">
                  <c:v>56.33</c:v>
                </c:pt>
                <c:pt idx="32">
                  <c:v>56.449999999999996</c:v>
                </c:pt>
                <c:pt idx="33">
                  <c:v>57.11</c:v>
                </c:pt>
                <c:pt idx="34">
                  <c:v>57.34</c:v>
                </c:pt>
                <c:pt idx="35">
                  <c:v>57.429998111999993</c:v>
                </c:pt>
                <c:pt idx="36">
                  <c:v>57.489999999999995</c:v>
                </c:pt>
                <c:pt idx="37">
                  <c:v>57.550000000000004</c:v>
                </c:pt>
                <c:pt idx="38">
                  <c:v>57.67</c:v>
                </c:pt>
                <c:pt idx="39">
                  <c:v>58.230000000000004</c:v>
                </c:pt>
                <c:pt idx="40">
                  <c:v>58.570000000000007</c:v>
                </c:pt>
                <c:pt idx="41">
                  <c:v>58.7</c:v>
                </c:pt>
                <c:pt idx="42">
                  <c:v>59.31</c:v>
                </c:pt>
                <c:pt idx="43">
                  <c:v>59.75</c:v>
                </c:pt>
                <c:pt idx="44">
                  <c:v>60.14</c:v>
                </c:pt>
                <c:pt idx="45">
                  <c:v>60.44</c:v>
                </c:pt>
                <c:pt idx="46">
                  <c:v>61.01</c:v>
                </c:pt>
                <c:pt idx="47">
                  <c:v>61.53</c:v>
                </c:pt>
                <c:pt idx="48">
                  <c:v>61.53</c:v>
                </c:pt>
                <c:pt idx="49">
                  <c:v>61.67</c:v>
                </c:pt>
                <c:pt idx="50">
                  <c:v>63.31</c:v>
                </c:pt>
                <c:pt idx="51">
                  <c:v>63.39</c:v>
                </c:pt>
                <c:pt idx="52">
                  <c:v>63.49</c:v>
                </c:pt>
                <c:pt idx="53">
                  <c:v>64.59</c:v>
                </c:pt>
                <c:pt idx="54">
                  <c:v>65.11</c:v>
                </c:pt>
                <c:pt idx="55">
                  <c:v>65.72</c:v>
                </c:pt>
                <c:pt idx="56">
                  <c:v>66.52</c:v>
                </c:pt>
                <c:pt idx="57">
                  <c:v>66.899999999999991</c:v>
                </c:pt>
                <c:pt idx="58">
                  <c:v>67.260000000000005</c:v>
                </c:pt>
                <c:pt idx="59">
                  <c:v>67.599999999999994</c:v>
                </c:pt>
                <c:pt idx="60">
                  <c:v>68.319999999999993</c:v>
                </c:pt>
                <c:pt idx="61">
                  <c:v>68.959999999999994</c:v>
                </c:pt>
                <c:pt idx="62">
                  <c:v>70.5</c:v>
                </c:pt>
                <c:pt idx="63">
                  <c:v>70.66</c:v>
                </c:pt>
                <c:pt idx="64">
                  <c:v>71.14</c:v>
                </c:pt>
                <c:pt idx="65">
                  <c:v>71.53</c:v>
                </c:pt>
                <c:pt idx="66">
                  <c:v>71.820000000000007</c:v>
                </c:pt>
                <c:pt idx="67">
                  <c:v>72.98</c:v>
                </c:pt>
                <c:pt idx="68">
                  <c:v>73.02000000000001</c:v>
                </c:pt>
                <c:pt idx="69">
                  <c:v>73.240000000000009</c:v>
                </c:pt>
                <c:pt idx="70">
                  <c:v>73.259999999999991</c:v>
                </c:pt>
                <c:pt idx="71">
                  <c:v>73.72</c:v>
                </c:pt>
                <c:pt idx="72">
                  <c:v>73.88</c:v>
                </c:pt>
                <c:pt idx="73">
                  <c:v>74.400000000000006</c:v>
                </c:pt>
                <c:pt idx="74">
                  <c:v>74.52</c:v>
                </c:pt>
                <c:pt idx="75">
                  <c:v>74.59</c:v>
                </c:pt>
                <c:pt idx="76">
                  <c:v>74.650000000000006</c:v>
                </c:pt>
                <c:pt idx="77">
                  <c:v>75.240000000000009</c:v>
                </c:pt>
                <c:pt idx="78">
                  <c:v>75.31</c:v>
                </c:pt>
                <c:pt idx="79">
                  <c:v>75.36</c:v>
                </c:pt>
                <c:pt idx="80">
                  <c:v>75.89</c:v>
                </c:pt>
                <c:pt idx="81">
                  <c:v>76.02</c:v>
                </c:pt>
                <c:pt idx="82">
                  <c:v>76.06</c:v>
                </c:pt>
                <c:pt idx="83">
                  <c:v>77.84</c:v>
                </c:pt>
                <c:pt idx="84">
                  <c:v>78.319999999999993</c:v>
                </c:pt>
                <c:pt idx="85">
                  <c:v>78.52</c:v>
                </c:pt>
                <c:pt idx="86">
                  <c:v>78.58</c:v>
                </c:pt>
                <c:pt idx="87">
                  <c:v>79</c:v>
                </c:pt>
                <c:pt idx="88">
                  <c:v>79.3</c:v>
                </c:pt>
                <c:pt idx="89">
                  <c:v>79.36</c:v>
                </c:pt>
                <c:pt idx="90">
                  <c:v>81.210000000000008</c:v>
                </c:pt>
                <c:pt idx="91">
                  <c:v>81.84</c:v>
                </c:pt>
                <c:pt idx="92">
                  <c:v>83.53</c:v>
                </c:pt>
                <c:pt idx="93">
                  <c:v>83.740000000000009</c:v>
                </c:pt>
                <c:pt idx="94">
                  <c:v>84.93</c:v>
                </c:pt>
                <c:pt idx="95">
                  <c:v>85.65</c:v>
                </c:pt>
                <c:pt idx="96">
                  <c:v>85.72</c:v>
                </c:pt>
                <c:pt idx="97">
                  <c:v>85.75</c:v>
                </c:pt>
                <c:pt idx="98">
                  <c:v>86.09</c:v>
                </c:pt>
                <c:pt idx="99">
                  <c:v>86.19</c:v>
                </c:pt>
                <c:pt idx="100">
                  <c:v>86.45</c:v>
                </c:pt>
                <c:pt idx="101">
                  <c:v>86.86999999999999</c:v>
                </c:pt>
                <c:pt idx="102">
                  <c:v>87.109999999999985</c:v>
                </c:pt>
                <c:pt idx="103">
                  <c:v>87.95</c:v>
                </c:pt>
                <c:pt idx="104">
                  <c:v>88.2</c:v>
                </c:pt>
                <c:pt idx="105">
                  <c:v>89.32</c:v>
                </c:pt>
                <c:pt idx="106">
                  <c:v>90.16</c:v>
                </c:pt>
                <c:pt idx="107">
                  <c:v>90.210000000000008</c:v>
                </c:pt>
                <c:pt idx="108">
                  <c:v>92.94</c:v>
                </c:pt>
                <c:pt idx="109">
                  <c:v>93.23</c:v>
                </c:pt>
                <c:pt idx="110">
                  <c:v>94.27</c:v>
                </c:pt>
                <c:pt idx="111">
                  <c:v>94.37</c:v>
                </c:pt>
                <c:pt idx="112">
                  <c:v>95.65</c:v>
                </c:pt>
                <c:pt idx="113">
                  <c:v>95.69</c:v>
                </c:pt>
                <c:pt idx="114">
                  <c:v>98.1</c:v>
                </c:pt>
                <c:pt idx="115">
                  <c:v>98.62</c:v>
                </c:pt>
                <c:pt idx="116">
                  <c:v>100.5</c:v>
                </c:pt>
                <c:pt idx="117">
                  <c:v>105.38</c:v>
                </c:pt>
                <c:pt idx="118">
                  <c:v>106.91</c:v>
                </c:pt>
                <c:pt idx="119">
                  <c:v>107.14</c:v>
                </c:pt>
                <c:pt idx="120">
                  <c:v>107.89999999999999</c:v>
                </c:pt>
                <c:pt idx="121">
                  <c:v>107.98</c:v>
                </c:pt>
                <c:pt idx="122">
                  <c:v>108.29</c:v>
                </c:pt>
                <c:pt idx="123">
                  <c:v>110.3</c:v>
                </c:pt>
                <c:pt idx="124">
                  <c:v>111.71000000000001</c:v>
                </c:pt>
                <c:pt idx="125">
                  <c:v>111.9</c:v>
                </c:pt>
                <c:pt idx="126">
                  <c:v>112.86000000000001</c:v>
                </c:pt>
                <c:pt idx="127">
                  <c:v>115.6</c:v>
                </c:pt>
                <c:pt idx="128">
                  <c:v>118</c:v>
                </c:pt>
                <c:pt idx="129">
                  <c:v>124.46000000000001</c:v>
                </c:pt>
                <c:pt idx="130">
                  <c:v>130.88999999999999</c:v>
                </c:pt>
                <c:pt idx="131">
                  <c:v>133</c:v>
                </c:pt>
                <c:pt idx="132">
                  <c:v>137.63999999999999</c:v>
                </c:pt>
                <c:pt idx="133">
                  <c:v>153.59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00-4D6B-8552-68584EC19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95904"/>
        <c:axId val="159197440"/>
      </c:lineChart>
      <c:catAx>
        <c:axId val="15919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300"/>
            </a:pPr>
            <a:endParaRPr lang="en-US"/>
          </a:p>
        </c:txPr>
        <c:crossAx val="159197440"/>
        <c:crosses val="autoZero"/>
        <c:auto val="1"/>
        <c:lblAlgn val="ctr"/>
        <c:lblOffset val="100"/>
        <c:noMultiLvlLbl val="0"/>
      </c:catAx>
      <c:valAx>
        <c:axId val="159197440"/>
        <c:scaling>
          <c:orientation val="minMax"/>
          <c:max val="16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59195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147476728649551"/>
          <c:y val="0.14537229776296978"/>
          <c:w val="0.65713507697873941"/>
          <c:h val="0.1030081152686166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25" l="0.25" r="0.25" t="0.25" header="0.25" footer="0.2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Combined Water &amp; Sewer Monthly Cost </a:t>
            </a:r>
            <a:r>
              <a:rPr lang="en-US" sz="1600" baseline="0"/>
              <a:t>- </a:t>
            </a:r>
            <a:r>
              <a:rPr lang="en-US" sz="1600"/>
              <a:t>6000 Gallons Each</a:t>
            </a:r>
          </a:p>
        </c:rich>
      </c:tx>
      <c:layout>
        <c:manualLayout>
          <c:xMode val="edge"/>
          <c:yMode val="edge"/>
          <c:x val="0.17545338271651958"/>
          <c:y val="2.50000054680676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90826451571602E-2"/>
          <c:y val="0.11441204925222589"/>
          <c:w val="0.87973401190704825"/>
          <c:h val="0.63110818703153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'study base'!$F$5</c:f>
              <c:strCache>
                <c:ptCount val="1"/>
                <c:pt idx="0">
                  <c:v> Combined Water &amp; Sewer Monthly Cost 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base'!$F$7:$F$71</c:f>
              <c:numCache>
                <c:formatCode>_(* #,##0.00_);_(* \(#,##0.00\);_(* "-"??_);_(@_)</c:formatCode>
                <c:ptCount val="65"/>
                <c:pt idx="1">
                  <c:v>21.299999999999997</c:v>
                </c:pt>
                <c:pt idx="2">
                  <c:v>22.1</c:v>
                </c:pt>
                <c:pt idx="3">
                  <c:v>23.36</c:v>
                </c:pt>
                <c:pt idx="4">
                  <c:v>24.42</c:v>
                </c:pt>
                <c:pt idx="5">
                  <c:v>31.67</c:v>
                </c:pt>
                <c:pt idx="6">
                  <c:v>32.549999999999997</c:v>
                </c:pt>
                <c:pt idx="7">
                  <c:v>33.53</c:v>
                </c:pt>
                <c:pt idx="8">
                  <c:v>35.299999999999997</c:v>
                </c:pt>
                <c:pt idx="9">
                  <c:v>36.35</c:v>
                </c:pt>
                <c:pt idx="10">
                  <c:v>37.08</c:v>
                </c:pt>
                <c:pt idx="11">
                  <c:v>40.549999999999997</c:v>
                </c:pt>
                <c:pt idx="12">
                  <c:v>44.480000000000004</c:v>
                </c:pt>
                <c:pt idx="13">
                  <c:v>46.32</c:v>
                </c:pt>
                <c:pt idx="14">
                  <c:v>47.04</c:v>
                </c:pt>
                <c:pt idx="15">
                  <c:v>47.68</c:v>
                </c:pt>
                <c:pt idx="16">
                  <c:v>49.3</c:v>
                </c:pt>
                <c:pt idx="17">
                  <c:v>49.65</c:v>
                </c:pt>
                <c:pt idx="18">
                  <c:v>50.04</c:v>
                </c:pt>
                <c:pt idx="19">
                  <c:v>50.150000000000006</c:v>
                </c:pt>
                <c:pt idx="20">
                  <c:v>51</c:v>
                </c:pt>
                <c:pt idx="21">
                  <c:v>51.66</c:v>
                </c:pt>
                <c:pt idx="22">
                  <c:v>51.769999999999996</c:v>
                </c:pt>
                <c:pt idx="23">
                  <c:v>52.97</c:v>
                </c:pt>
                <c:pt idx="24">
                  <c:v>52.989999999999995</c:v>
                </c:pt>
                <c:pt idx="25">
                  <c:v>53.08</c:v>
                </c:pt>
                <c:pt idx="26">
                  <c:v>54.239999999999995</c:v>
                </c:pt>
                <c:pt idx="27">
                  <c:v>54.789999999999992</c:v>
                </c:pt>
                <c:pt idx="28">
                  <c:v>55.879999999999995</c:v>
                </c:pt>
                <c:pt idx="29">
                  <c:v>56</c:v>
                </c:pt>
                <c:pt idx="30">
                  <c:v>56.1</c:v>
                </c:pt>
                <c:pt idx="31">
                  <c:v>56.33</c:v>
                </c:pt>
                <c:pt idx="32">
                  <c:v>56.449999999999996</c:v>
                </c:pt>
                <c:pt idx="33">
                  <c:v>57.11</c:v>
                </c:pt>
                <c:pt idx="34">
                  <c:v>57.34</c:v>
                </c:pt>
                <c:pt idx="35">
                  <c:v>57.429998111999993</c:v>
                </c:pt>
                <c:pt idx="36">
                  <c:v>57.489999999999995</c:v>
                </c:pt>
                <c:pt idx="37">
                  <c:v>57.550000000000004</c:v>
                </c:pt>
                <c:pt idx="38">
                  <c:v>57.67</c:v>
                </c:pt>
                <c:pt idx="39">
                  <c:v>58.230000000000004</c:v>
                </c:pt>
                <c:pt idx="40">
                  <c:v>58.570000000000007</c:v>
                </c:pt>
                <c:pt idx="41">
                  <c:v>58.7</c:v>
                </c:pt>
                <c:pt idx="42">
                  <c:v>59.31</c:v>
                </c:pt>
                <c:pt idx="43">
                  <c:v>59.75</c:v>
                </c:pt>
                <c:pt idx="44">
                  <c:v>60.14</c:v>
                </c:pt>
                <c:pt idx="45">
                  <c:v>60.44</c:v>
                </c:pt>
                <c:pt idx="46">
                  <c:v>61.01</c:v>
                </c:pt>
                <c:pt idx="47">
                  <c:v>61.53</c:v>
                </c:pt>
                <c:pt idx="48">
                  <c:v>61.53</c:v>
                </c:pt>
                <c:pt idx="49">
                  <c:v>61.67</c:v>
                </c:pt>
                <c:pt idx="50">
                  <c:v>63.31</c:v>
                </c:pt>
                <c:pt idx="51">
                  <c:v>63.39</c:v>
                </c:pt>
                <c:pt idx="52">
                  <c:v>63.49</c:v>
                </c:pt>
                <c:pt idx="53">
                  <c:v>64.59</c:v>
                </c:pt>
                <c:pt idx="54">
                  <c:v>65.11</c:v>
                </c:pt>
                <c:pt idx="55">
                  <c:v>65.72</c:v>
                </c:pt>
                <c:pt idx="56">
                  <c:v>66.52</c:v>
                </c:pt>
                <c:pt idx="57">
                  <c:v>66.899999999999991</c:v>
                </c:pt>
                <c:pt idx="58">
                  <c:v>67.260000000000005</c:v>
                </c:pt>
                <c:pt idx="59">
                  <c:v>67.599999999999994</c:v>
                </c:pt>
                <c:pt idx="60">
                  <c:v>68.319999999999993</c:v>
                </c:pt>
                <c:pt idx="61">
                  <c:v>68.959999999999994</c:v>
                </c:pt>
                <c:pt idx="62">
                  <c:v>70.5</c:v>
                </c:pt>
                <c:pt idx="63">
                  <c:v>70.66</c:v>
                </c:pt>
                <c:pt idx="64">
                  <c:v>71.14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7-4779-BAD8-CD08579BC75D}"/>
            </c:ext>
          </c:extLst>
        </c:ser>
        <c:ser>
          <c:idx val="1"/>
          <c:order val="1"/>
          <c:tx>
            <c:strRef>
              <c:f>'study base'!$I$5</c:f>
              <c:strCache>
                <c:ptCount val="1"/>
                <c:pt idx="0">
                  <c:v>City Of Grand Haven (Combined)</c:v>
                </c:pt>
              </c:strCache>
            </c:strRef>
          </c:tx>
          <c:invertIfNegative val="0"/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base'!$I$7:$I$71</c:f>
              <c:numCache>
                <c:formatCode>General</c:formatCode>
                <c:ptCount val="65"/>
                <c:pt idx="15" formatCode="_(* #,##0.00_);_(* \(#,##0.00\);_(* &quot;-&quot;??_);_(@_)">
                  <c:v>47.68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B7-4779-BAD8-CD08579BC75D}"/>
            </c:ext>
          </c:extLst>
        </c:ser>
        <c:ser>
          <c:idx val="2"/>
          <c:order val="2"/>
          <c:tx>
            <c:strRef>
              <c:f>'study base'!$L$5</c:f>
              <c:strCache>
                <c:ptCount val="1"/>
                <c:pt idx="0">
                  <c:v>Tri Cities Local Gov'ts (Combined)</c:v>
                </c:pt>
              </c:strCache>
            </c:strRef>
          </c:tx>
          <c:invertIfNegative val="0"/>
          <c:cat>
            <c:strRef>
              <c:f>'study base'!$B$7:$B$71</c:f>
              <c:strCache>
                <c:ptCount val="65"/>
                <c:pt idx="1">
                  <c:v>City of Grandville</c:v>
                </c:pt>
                <c:pt idx="2">
                  <c:v>City of DeWitt</c:v>
                </c:pt>
                <c:pt idx="3">
                  <c:v>City of Rochester - Rochester well</c:v>
                </c:pt>
                <c:pt idx="4">
                  <c:v>City of Carson City</c:v>
                </c:pt>
                <c:pt idx="5">
                  <c:v>Watertown Township</c:v>
                </c:pt>
                <c:pt idx="6">
                  <c:v>City of Greenville</c:v>
                </c:pt>
                <c:pt idx="7">
                  <c:v>City of Rochester- Detroit W/S</c:v>
                </c:pt>
                <c:pt idx="8">
                  <c:v>Charter Township of Niles</c:v>
                </c:pt>
                <c:pt idx="9">
                  <c:v>City of Ludington</c:v>
                </c:pt>
                <c:pt idx="10">
                  <c:v>City of Whitehall</c:v>
                </c:pt>
                <c:pt idx="11">
                  <c:v>City of Tecumseh</c:v>
                </c:pt>
                <c:pt idx="12">
                  <c:v>Spring Lake Township</c:v>
                </c:pt>
                <c:pt idx="13">
                  <c:v>City of Albion</c:v>
                </c:pt>
                <c:pt idx="14">
                  <c:v>City of East Jordan</c:v>
                </c:pt>
                <c:pt idx="15">
                  <c:v>City of Grand Haven</c:v>
                </c:pt>
                <c:pt idx="16">
                  <c:v>Village of Lake Odessa</c:v>
                </c:pt>
                <c:pt idx="17">
                  <c:v>City of Montague - 3/4"</c:v>
                </c:pt>
                <c:pt idx="18">
                  <c:v>Village of Hart</c:v>
                </c:pt>
                <c:pt idx="19">
                  <c:v>City of Grand Haven 7/1/2016 3+5</c:v>
                </c:pt>
                <c:pt idx="20">
                  <c:v>Chester Township</c:v>
                </c:pt>
                <c:pt idx="21">
                  <c:v>City of Grand Haven 7/1/2017 3+5</c:v>
                </c:pt>
                <c:pt idx="22">
                  <c:v>City of Reed City</c:v>
                </c:pt>
                <c:pt idx="23">
                  <c:v>City of St. Joseph</c:v>
                </c:pt>
                <c:pt idx="24">
                  <c:v>City of Gaylord</c:v>
                </c:pt>
                <c:pt idx="25">
                  <c:v>City of Zeeland</c:v>
                </c:pt>
                <c:pt idx="26">
                  <c:v>City of Grand Haven 7/1/2018 3+5</c:v>
                </c:pt>
                <c:pt idx="27">
                  <c:v>City of Fremont</c:v>
                </c:pt>
                <c:pt idx="28">
                  <c:v>City of Grand Haven 7/1/2019 3+5</c:v>
                </c:pt>
                <c:pt idx="29">
                  <c:v>Village of Kingsley</c:v>
                </c:pt>
                <c:pt idx="30">
                  <c:v>Hillsdale BPW</c:v>
                </c:pt>
                <c:pt idx="31">
                  <c:v>Village of Spring Lake</c:v>
                </c:pt>
                <c:pt idx="32">
                  <c:v>Village of Almont</c:v>
                </c:pt>
                <c:pt idx="33">
                  <c:v>City of Otsego</c:v>
                </c:pt>
                <c:pt idx="34">
                  <c:v>City of Norton Shores</c:v>
                </c:pt>
                <c:pt idx="35">
                  <c:v>City of Coopersville</c:v>
                </c:pt>
                <c:pt idx="36">
                  <c:v>City of Morenci</c:v>
                </c:pt>
                <c:pt idx="37">
                  <c:v>City of Yale</c:v>
                </c:pt>
                <c:pt idx="38">
                  <c:v>City of Ferrysburg</c:v>
                </c:pt>
                <c:pt idx="39">
                  <c:v>City of Bronson</c:v>
                </c:pt>
                <c:pt idx="40">
                  <c:v>City of Grand Haven 7/1/2020 3+5+RTS 3 yrs</c:v>
                </c:pt>
                <c:pt idx="41">
                  <c:v>City of Coldwater</c:v>
                </c:pt>
                <c:pt idx="42">
                  <c:v>City of Iron Mountain</c:v>
                </c:pt>
                <c:pt idx="43">
                  <c:v>Grand Haven Charter Township</c:v>
                </c:pt>
                <c:pt idx="44">
                  <c:v>City of Grosse Pointe</c:v>
                </c:pt>
                <c:pt idx="45">
                  <c:v>City of Boyne City</c:v>
                </c:pt>
                <c:pt idx="46">
                  <c:v>Village of Paw Paw</c:v>
                </c:pt>
                <c:pt idx="47">
                  <c:v>City of Montague - 1"</c:v>
                </c:pt>
                <c:pt idx="48">
                  <c:v>City of Lincoln Park</c:v>
                </c:pt>
                <c:pt idx="49">
                  <c:v>City of East Grand Rapds</c:v>
                </c:pt>
                <c:pt idx="50">
                  <c:v>City of Battle Creek</c:v>
                </c:pt>
                <c:pt idx="51">
                  <c:v>City of Auburn</c:v>
                </c:pt>
                <c:pt idx="52">
                  <c:v>City of Niles</c:v>
                </c:pt>
                <c:pt idx="53">
                  <c:v>City of Springfield</c:v>
                </c:pt>
                <c:pt idx="54">
                  <c:v>Village of Milford</c:v>
                </c:pt>
                <c:pt idx="55">
                  <c:v>City of Grand Haven 7/1/2020 5+7+RTS 5 yrs</c:v>
                </c:pt>
                <c:pt idx="56">
                  <c:v>Village of Saranac</c:v>
                </c:pt>
                <c:pt idx="57">
                  <c:v>Local Unit cost 5 year advance</c:v>
                </c:pt>
                <c:pt idx="58">
                  <c:v>City of Trenton</c:v>
                </c:pt>
                <c:pt idx="59">
                  <c:v>Village of Quincy</c:v>
                </c:pt>
                <c:pt idx="60">
                  <c:v>City of Adrian</c:v>
                </c:pt>
                <c:pt idx="61">
                  <c:v>City of Roosevelt Park</c:v>
                </c:pt>
                <c:pt idx="62">
                  <c:v>City of East Tawas</c:v>
                </c:pt>
                <c:pt idx="63">
                  <c:v>City of North Muskegon 1/1/2016</c:v>
                </c:pt>
                <c:pt idx="64">
                  <c:v>City of Manistee</c:v>
                </c:pt>
              </c:strCache>
            </c:strRef>
          </c:cat>
          <c:val>
            <c:numRef>
              <c:f>'study base'!$L$7:$L$71</c:f>
              <c:numCache>
                <c:formatCode>General</c:formatCode>
                <c:ptCount val="65"/>
                <c:pt idx="12" formatCode="_(* #,##0.00_);_(* \(#,##0.00\);_(* &quot;-&quot;??_);_(@_)">
                  <c:v>44.480000000000004</c:v>
                </c:pt>
                <c:pt idx="31" formatCode="_(* #,##0.00_);_(* \(#,##0.00\);_(* &quot;-&quot;??_);_(@_)">
                  <c:v>56.33</c:v>
                </c:pt>
                <c:pt idx="38" formatCode="_(* #,##0.00_);_(* \(#,##0.00\);_(* &quot;-&quot;??_);_(@_)">
                  <c:v>57.67</c:v>
                </c:pt>
                <c:pt idx="43" formatCode="_(* #,##0.00_);_(* \(#,##0.00\);_(* &quot;-&quot;??_);_(@_)">
                  <c:v>59.75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B7-4779-BAD8-CD08579B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333760"/>
        <c:axId val="159339648"/>
      </c:barChart>
      <c:lineChart>
        <c:grouping val="standard"/>
        <c:varyColors val="0"/>
        <c:ser>
          <c:idx val="3"/>
          <c:order val="3"/>
          <c:tx>
            <c:v>Total Combined Cost</c:v>
          </c:tx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none"/>
          </c:marker>
          <c:val>
            <c:numRef>
              <c:f>'study base'!$F$7:$F$71</c:f>
              <c:numCache>
                <c:formatCode>_(* #,##0.00_);_(* \(#,##0.00\);_(* "-"??_);_(@_)</c:formatCode>
                <c:ptCount val="65"/>
                <c:pt idx="1">
                  <c:v>21.299999999999997</c:v>
                </c:pt>
                <c:pt idx="2">
                  <c:v>22.1</c:v>
                </c:pt>
                <c:pt idx="3">
                  <c:v>23.36</c:v>
                </c:pt>
                <c:pt idx="4">
                  <c:v>24.42</c:v>
                </c:pt>
                <c:pt idx="5">
                  <c:v>31.67</c:v>
                </c:pt>
                <c:pt idx="6">
                  <c:v>32.549999999999997</c:v>
                </c:pt>
                <c:pt idx="7">
                  <c:v>33.53</c:v>
                </c:pt>
                <c:pt idx="8">
                  <c:v>35.299999999999997</c:v>
                </c:pt>
                <c:pt idx="9">
                  <c:v>36.35</c:v>
                </c:pt>
                <c:pt idx="10">
                  <c:v>37.08</c:v>
                </c:pt>
                <c:pt idx="11">
                  <c:v>40.549999999999997</c:v>
                </c:pt>
                <c:pt idx="12">
                  <c:v>44.480000000000004</c:v>
                </c:pt>
                <c:pt idx="13">
                  <c:v>46.32</c:v>
                </c:pt>
                <c:pt idx="14">
                  <c:v>47.04</c:v>
                </c:pt>
                <c:pt idx="15">
                  <c:v>47.68</c:v>
                </c:pt>
                <c:pt idx="16">
                  <c:v>49.3</c:v>
                </c:pt>
                <c:pt idx="17">
                  <c:v>49.65</c:v>
                </c:pt>
                <c:pt idx="18">
                  <c:v>50.04</c:v>
                </c:pt>
                <c:pt idx="19">
                  <c:v>50.150000000000006</c:v>
                </c:pt>
                <c:pt idx="20">
                  <c:v>51</c:v>
                </c:pt>
                <c:pt idx="21">
                  <c:v>51.66</c:v>
                </c:pt>
                <c:pt idx="22">
                  <c:v>51.769999999999996</c:v>
                </c:pt>
                <c:pt idx="23">
                  <c:v>52.97</c:v>
                </c:pt>
                <c:pt idx="24">
                  <c:v>52.989999999999995</c:v>
                </c:pt>
                <c:pt idx="25">
                  <c:v>53.08</c:v>
                </c:pt>
                <c:pt idx="26">
                  <c:v>54.239999999999995</c:v>
                </c:pt>
                <c:pt idx="27">
                  <c:v>54.789999999999992</c:v>
                </c:pt>
                <c:pt idx="28">
                  <c:v>55.879999999999995</c:v>
                </c:pt>
                <c:pt idx="29">
                  <c:v>56</c:v>
                </c:pt>
                <c:pt idx="30">
                  <c:v>56.1</c:v>
                </c:pt>
                <c:pt idx="31">
                  <c:v>56.33</c:v>
                </c:pt>
                <c:pt idx="32">
                  <c:v>56.449999999999996</c:v>
                </c:pt>
                <c:pt idx="33">
                  <c:v>57.11</c:v>
                </c:pt>
                <c:pt idx="34">
                  <c:v>57.34</c:v>
                </c:pt>
                <c:pt idx="35">
                  <c:v>57.429998111999993</c:v>
                </c:pt>
                <c:pt idx="36">
                  <c:v>57.489999999999995</c:v>
                </c:pt>
                <c:pt idx="37">
                  <c:v>57.550000000000004</c:v>
                </c:pt>
                <c:pt idx="38">
                  <c:v>57.67</c:v>
                </c:pt>
                <c:pt idx="39">
                  <c:v>58.230000000000004</c:v>
                </c:pt>
                <c:pt idx="40">
                  <c:v>58.570000000000007</c:v>
                </c:pt>
                <c:pt idx="41">
                  <c:v>58.7</c:v>
                </c:pt>
                <c:pt idx="42">
                  <c:v>59.31</c:v>
                </c:pt>
                <c:pt idx="43">
                  <c:v>59.75</c:v>
                </c:pt>
                <c:pt idx="44">
                  <c:v>60.14</c:v>
                </c:pt>
                <c:pt idx="45">
                  <c:v>60.44</c:v>
                </c:pt>
                <c:pt idx="46">
                  <c:v>61.01</c:v>
                </c:pt>
                <c:pt idx="47">
                  <c:v>61.53</c:v>
                </c:pt>
                <c:pt idx="48">
                  <c:v>61.53</c:v>
                </c:pt>
                <c:pt idx="49">
                  <c:v>61.67</c:v>
                </c:pt>
                <c:pt idx="50">
                  <c:v>63.31</c:v>
                </c:pt>
                <c:pt idx="51">
                  <c:v>63.39</c:v>
                </c:pt>
                <c:pt idx="52">
                  <c:v>63.49</c:v>
                </c:pt>
                <c:pt idx="53">
                  <c:v>64.59</c:v>
                </c:pt>
                <c:pt idx="54">
                  <c:v>65.11</c:v>
                </c:pt>
                <c:pt idx="55">
                  <c:v>65.72</c:v>
                </c:pt>
                <c:pt idx="56">
                  <c:v>66.52</c:v>
                </c:pt>
                <c:pt idx="57">
                  <c:v>66.899999999999991</c:v>
                </c:pt>
                <c:pt idx="58">
                  <c:v>67.260000000000005</c:v>
                </c:pt>
                <c:pt idx="59">
                  <c:v>67.599999999999994</c:v>
                </c:pt>
                <c:pt idx="60">
                  <c:v>68.319999999999993</c:v>
                </c:pt>
                <c:pt idx="61">
                  <c:v>68.959999999999994</c:v>
                </c:pt>
                <c:pt idx="62">
                  <c:v>70.5</c:v>
                </c:pt>
                <c:pt idx="63">
                  <c:v>70.66</c:v>
                </c:pt>
                <c:pt idx="64">
                  <c:v>71.14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B7-4779-BAD8-CD08579B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33760"/>
        <c:axId val="159339648"/>
      </c:lineChart>
      <c:catAx>
        <c:axId val="15933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600"/>
            </a:pPr>
            <a:endParaRPr lang="en-US"/>
          </a:p>
        </c:txPr>
        <c:crossAx val="159339648"/>
        <c:crosses val="autoZero"/>
        <c:auto val="1"/>
        <c:lblAlgn val="ctr"/>
        <c:lblOffset val="100"/>
        <c:noMultiLvlLbl val="0"/>
      </c:catAx>
      <c:valAx>
        <c:axId val="15933964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59333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437279227641888"/>
          <c:y val="0.11481695424692789"/>
          <c:w val="0.60232405653041876"/>
          <c:h val="9.6293984316269537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25" l="0.25" r="0.25" t="0.25" header="0.25" footer="0.2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12" Type="http://schemas.openxmlformats.org/officeDocument/2006/relationships/chart" Target="../charts/chart9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11" Type="http://schemas.openxmlformats.org/officeDocument/2006/relationships/chart" Target="../charts/chart8.xml"/><Relationship Id="rId5" Type="http://schemas.openxmlformats.org/officeDocument/2006/relationships/image" Target="../media/image1.png"/><Relationship Id="rId10" Type="http://schemas.openxmlformats.org/officeDocument/2006/relationships/chart" Target="../charts/chart7.xml"/><Relationship Id="rId4" Type="http://schemas.openxmlformats.org/officeDocument/2006/relationships/chart" Target="../charts/chart4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152400</xdr:colOff>
      <xdr:row>23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8</xdr:col>
      <xdr:colOff>152400</xdr:colOff>
      <xdr:row>48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8</xdr:col>
      <xdr:colOff>152400</xdr:colOff>
      <xdr:row>73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8</xdr:col>
      <xdr:colOff>152400</xdr:colOff>
      <xdr:row>98</xdr:row>
      <xdr:rowOff>190499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0</xdr:colOff>
      <xdr:row>25</xdr:row>
      <xdr:rowOff>0</xdr:rowOff>
    </xdr:from>
    <xdr:to>
      <xdr:col>20</xdr:col>
      <xdr:colOff>268908</xdr:colOff>
      <xdr:row>49</xdr:row>
      <xdr:rowOff>3064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667875" y="4772025"/>
          <a:ext cx="7888908" cy="458458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20</xdr:col>
      <xdr:colOff>268908</xdr:colOff>
      <xdr:row>74</xdr:row>
      <xdr:rowOff>3064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667875" y="9544050"/>
          <a:ext cx="7888908" cy="458458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20</xdr:col>
      <xdr:colOff>268908</xdr:colOff>
      <xdr:row>24</xdr:row>
      <xdr:rowOff>3064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667875" y="0"/>
          <a:ext cx="7888908" cy="458458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8</xdr:col>
      <xdr:colOff>152400</xdr:colOff>
      <xdr:row>123</xdr:row>
      <xdr:rowOff>190499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8</xdr:col>
      <xdr:colOff>152400</xdr:colOff>
      <xdr:row>148</xdr:row>
      <xdr:rowOff>190499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8</xdr:col>
      <xdr:colOff>152400</xdr:colOff>
      <xdr:row>173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8</xdr:col>
      <xdr:colOff>152400</xdr:colOff>
      <xdr:row>198</xdr:row>
      <xdr:rowOff>190499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200</xdr:row>
      <xdr:rowOff>0</xdr:rowOff>
    </xdr:from>
    <xdr:to>
      <xdr:col>8</xdr:col>
      <xdr:colOff>152400</xdr:colOff>
      <xdr:row>223</xdr:row>
      <xdr:rowOff>190499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rombeenk@cityofgrandville.com" TargetMode="External"/><Relationship Id="rId18" Type="http://schemas.openxmlformats.org/officeDocument/2006/relationships/hyperlink" Target="mailto:gregs@alpena.mi.us" TargetMode="External"/><Relationship Id="rId26" Type="http://schemas.openxmlformats.org/officeDocument/2006/relationships/hyperlink" Target="mailto:reedcm@reedcityhall.org" TargetMode="External"/><Relationship Id="rId39" Type="http://schemas.openxmlformats.org/officeDocument/2006/relationships/hyperlink" Target="mailto:richh@micityoffraser.com" TargetMode="External"/><Relationship Id="rId21" Type="http://schemas.openxmlformats.org/officeDocument/2006/relationships/hyperlink" Target="mailto:ttaylor@manisteemi.gov" TargetMode="External"/><Relationship Id="rId34" Type="http://schemas.openxmlformats.org/officeDocument/2006/relationships/hyperlink" Target="mailto:tblake@cityoffremont.net" TargetMode="External"/><Relationship Id="rId42" Type="http://schemas.openxmlformats.org/officeDocument/2006/relationships/hyperlink" Target="mailto:villageofshelby@gmail.com" TargetMode="External"/><Relationship Id="rId47" Type="http://schemas.openxmlformats.org/officeDocument/2006/relationships/hyperlink" Target="mailto:kmushong@eastgr.org" TargetMode="External"/><Relationship Id="rId50" Type="http://schemas.openxmlformats.org/officeDocument/2006/relationships/hyperlink" Target="mailto:jstover@nilestwpmi.gov" TargetMode="External"/><Relationship Id="rId55" Type="http://schemas.openxmlformats.org/officeDocument/2006/relationships/hyperlink" Target="mailto:pennyr@villageofmilford.org" TargetMode="External"/><Relationship Id="rId63" Type="http://schemas.openxmlformats.org/officeDocument/2006/relationships/hyperlink" Target="mailto:tblake@cityoffremont.net" TargetMode="External"/><Relationship Id="rId68" Type="http://schemas.openxmlformats.org/officeDocument/2006/relationships/hyperlink" Target="mailto:MCoppler@citylp.com" TargetMode="External"/><Relationship Id="rId76" Type="http://schemas.openxmlformats.org/officeDocument/2006/relationships/hyperlink" Target="mailto:administrator@blissfieldmichigan.gov" TargetMode="External"/><Relationship Id="rId84" Type="http://schemas.openxmlformats.org/officeDocument/2006/relationships/hyperlink" Target="mailto:b.mersman@bronson-mi.com" TargetMode="External"/><Relationship Id="rId89" Type="http://schemas.openxmlformats.org/officeDocument/2006/relationships/hyperlink" Target="mailto:PJDame@grossepointecity.org" TargetMode="External"/><Relationship Id="rId7" Type="http://schemas.openxmlformats.org/officeDocument/2006/relationships/hyperlink" Target="mailto:pmcginnis@grandhaven.org" TargetMode="External"/><Relationship Id="rId71" Type="http://schemas.openxmlformats.org/officeDocument/2006/relationships/hyperlink" Target="mailto:JGray@jonesville.org" TargetMode="External"/><Relationship Id="rId92" Type="http://schemas.openxmlformats.org/officeDocument/2006/relationships/hyperlink" Target="mailto:lladner@southlyonmi.org" TargetMode="External"/><Relationship Id="rId2" Type="http://schemas.openxmlformats.org/officeDocument/2006/relationships/hyperlink" Target="mailto:dolson@crystalfalls.org" TargetMode="External"/><Relationship Id="rId16" Type="http://schemas.openxmlformats.org/officeDocument/2006/relationships/hyperlink" Target="mailto:citymanager@cityofscottville.org" TargetMode="External"/><Relationship Id="rId29" Type="http://schemas.openxmlformats.org/officeDocument/2006/relationships/hyperlink" Target="mailto:jhanifan@city-chelsea.org" TargetMode="External"/><Relationship Id="rId11" Type="http://schemas.openxmlformats.org/officeDocument/2006/relationships/hyperlink" Target="mailto:citymanager@cityofgrandblanc.com" TargetMode="External"/><Relationship Id="rId24" Type="http://schemas.openxmlformats.org/officeDocument/2006/relationships/hyperlink" Target="mailto:jhefele@rogerscity.com" TargetMode="External"/><Relationship Id="rId32" Type="http://schemas.openxmlformats.org/officeDocument/2006/relationships/hyperlink" Target="mailto:zackary.szakacs@evart.org" TargetMode="External"/><Relationship Id="rId37" Type="http://schemas.openxmlformats.org/officeDocument/2006/relationships/hyperlink" Target="mailto:rtaylor@dewitttwp.org" TargetMode="External"/><Relationship Id="rId40" Type="http://schemas.openxmlformats.org/officeDocument/2006/relationships/hyperlink" Target="mailto:SErbisch@mqtco.org" TargetMode="External"/><Relationship Id="rId45" Type="http://schemas.openxmlformats.org/officeDocument/2006/relationships/hyperlink" Target="mailto:JShay@ci.ludington.mi.us" TargetMode="External"/><Relationship Id="rId53" Type="http://schemas.openxmlformats.org/officeDocument/2006/relationships/hyperlink" Target="mailto:emoody@springfieldmich.com" TargetMode="External"/><Relationship Id="rId58" Type="http://schemas.openxmlformats.org/officeDocument/2006/relationships/hyperlink" Target="mailto:KSall@trenton-mi.com" TargetMode="External"/><Relationship Id="rId66" Type="http://schemas.openxmlformats.org/officeDocument/2006/relationships/hyperlink" Target="mailto:treasurer@chester-twp.org" TargetMode="External"/><Relationship Id="rId74" Type="http://schemas.openxmlformats.org/officeDocument/2006/relationships/hyperlink" Target="mailto:jsuchy@spartami.org" TargetMode="External"/><Relationship Id="rId79" Type="http://schemas.openxmlformats.org/officeDocument/2006/relationships/hyperlink" Target="mailto:manager@villageofbrooklyn.com" TargetMode="External"/><Relationship Id="rId87" Type="http://schemas.openxmlformats.org/officeDocument/2006/relationships/hyperlink" Target="mailto:treasurer@cityofmontrose.us" TargetMode="External"/><Relationship Id="rId5" Type="http://schemas.openxmlformats.org/officeDocument/2006/relationships/hyperlink" Target="mailto:SHorn@adrianmi.gov" TargetMode="External"/><Relationship Id="rId61" Type="http://schemas.openxmlformats.org/officeDocument/2006/relationships/hyperlink" Target="mailto:jpray@cityofdavison.org" TargetMode="External"/><Relationship Id="rId82" Type="http://schemas.openxmlformats.org/officeDocument/2006/relationships/hyperlink" Target="mailto:asmith@grand-ledge.com" TargetMode="External"/><Relationship Id="rId90" Type="http://schemas.openxmlformats.org/officeDocument/2006/relationships/hyperlink" Target="mailto:DFaber@misandusky.com" TargetMode="External"/><Relationship Id="rId19" Type="http://schemas.openxmlformats.org/officeDocument/2006/relationships/hyperlink" Target="mailto:GBosanic@greenvillemi.org" TargetMode="External"/><Relationship Id="rId14" Type="http://schemas.openxmlformats.org/officeDocument/2006/relationships/hyperlink" Target="mailto:CityManager@cityofmunising.org" TargetMode="External"/><Relationship Id="rId22" Type="http://schemas.openxmlformats.org/officeDocument/2006/relationships/hyperlink" Target="mailto:ahorning@tawascity.org" TargetMode="External"/><Relationship Id="rId27" Type="http://schemas.openxmlformats.org/officeDocument/2006/relationships/hyperlink" Target="mailto:huebler@cityofwhitehall.org" TargetMode="External"/><Relationship Id="rId30" Type="http://schemas.openxmlformats.org/officeDocument/2006/relationships/hyperlink" Target="mailto:BCargo@ght.org" TargetMode="External"/><Relationship Id="rId35" Type="http://schemas.openxmlformats.org/officeDocument/2006/relationships/hyperlink" Target="mailto:emarshall@villagebeverlyhills.com" TargetMode="External"/><Relationship Id="rId43" Type="http://schemas.openxmlformats.org/officeDocument/2006/relationships/hyperlink" Target="mailto:mcain@boynecity.com" TargetMode="External"/><Relationship Id="rId48" Type="http://schemas.openxmlformats.org/officeDocument/2006/relationships/hyperlink" Target="mailto:lcavanagh@redfordtwp.com" TargetMode="External"/><Relationship Id="rId56" Type="http://schemas.openxmlformats.org/officeDocument/2006/relationships/hyperlink" Target="mailto:financedirector@cityofcedarsprings.org" TargetMode="External"/><Relationship Id="rId64" Type="http://schemas.openxmlformats.org/officeDocument/2006/relationships/hyperlink" Target="mailto:tcannon@eastjordancity.org" TargetMode="External"/><Relationship Id="rId69" Type="http://schemas.openxmlformats.org/officeDocument/2006/relationships/hyperlink" Target="mailto:citymanager@cityofpleasantridge.org" TargetMode="External"/><Relationship Id="rId77" Type="http://schemas.openxmlformats.org/officeDocument/2006/relationships/hyperlink" Target="mailto:citymanager@ishpemingcity.org" TargetMode="External"/><Relationship Id="rId8" Type="http://schemas.openxmlformats.org/officeDocument/2006/relationships/hyperlink" Target="mailto:mcclaryd@lakeorion.org" TargetMode="External"/><Relationship Id="rId51" Type="http://schemas.openxmlformats.org/officeDocument/2006/relationships/hyperlink" Target="mailto:bmarr@stlouismi.com" TargetMode="External"/><Relationship Id="rId72" Type="http://schemas.openxmlformats.org/officeDocument/2006/relationships/hyperlink" Target="mailto:sjanson@cityofnorthmuskegon.com" TargetMode="External"/><Relationship Id="rId80" Type="http://schemas.openxmlformats.org/officeDocument/2006/relationships/hyperlink" Target="mailto:kdoyle@cityofzeeland.com" TargetMode="External"/><Relationship Id="rId85" Type="http://schemas.openxmlformats.org/officeDocument/2006/relationships/hyperlink" Target="mailto:vllgclerk@elkrapids.org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jwickman@hartlandtwp.com" TargetMode="External"/><Relationship Id="rId12" Type="http://schemas.openxmlformats.org/officeDocument/2006/relationships/hyperlink" Target="mailto:dcoss@dewittmi.org" TargetMode="External"/><Relationship Id="rId17" Type="http://schemas.openxmlformats.org/officeDocument/2006/relationships/hyperlink" Target="mailto:jbudd@coldwater.org" TargetMode="External"/><Relationship Id="rId25" Type="http://schemas.openxmlformats.org/officeDocument/2006/relationships/hyperlink" Target="mailto:jhefele@rogerscity.com" TargetMode="External"/><Relationship Id="rId33" Type="http://schemas.openxmlformats.org/officeDocument/2006/relationships/hyperlink" Target="mailto:manager@lakeodessa.org" TargetMode="External"/><Relationship Id="rId38" Type="http://schemas.openxmlformats.org/officeDocument/2006/relationships/hyperlink" Target="mailto:citymanager@corunna-mi.gov" TargetMode="External"/><Relationship Id="rId46" Type="http://schemas.openxmlformats.org/officeDocument/2006/relationships/hyperlink" Target="mailto:KKidder@cofrankfort.net" TargetMode="External"/><Relationship Id="rId59" Type="http://schemas.openxmlformats.org/officeDocument/2006/relationships/hyperlink" Target="mailto:vfishell@cityofmtmorris.org" TargetMode="External"/><Relationship Id="rId67" Type="http://schemas.openxmlformats.org/officeDocument/2006/relationships/hyperlink" Target="mailto:smitchell@cityofalbionmi.gov" TargetMode="External"/><Relationship Id="rId20" Type="http://schemas.openxmlformats.org/officeDocument/2006/relationships/hyperlink" Target="mailto:cgraham@frankenmuthcity.com" TargetMode="External"/><Relationship Id="rId41" Type="http://schemas.openxmlformats.org/officeDocument/2006/relationships/hyperlink" Target="mailto:mazadeb@gmail.com" TargetMode="External"/><Relationship Id="rId54" Type="http://schemas.openxmlformats.org/officeDocument/2006/relationships/hyperlink" Target="mailto:saranacoffice@gmail.com" TargetMode="External"/><Relationship Id="rId62" Type="http://schemas.openxmlformats.org/officeDocument/2006/relationships/hyperlink" Target="mailto:wardl@porthuron.org" TargetMode="External"/><Relationship Id="rId70" Type="http://schemas.openxmlformats.org/officeDocument/2006/relationships/hyperlink" Target="mailto:jmoore@cityofrichmond.net" TargetMode="External"/><Relationship Id="rId75" Type="http://schemas.openxmlformats.org/officeDocument/2006/relationships/hyperlink" Target="mailto:Michael.sessions@cityofmorenci.org" TargetMode="External"/><Relationship Id="rId83" Type="http://schemas.openxmlformats.org/officeDocument/2006/relationships/hyperlink" Target="mailto:jeffthornton@hotmail.com" TargetMode="External"/><Relationship Id="rId88" Type="http://schemas.openxmlformats.org/officeDocument/2006/relationships/hyperlink" Target="mailto:jlanglois@oaklandtownship.org" TargetMode="External"/><Relationship Id="rId91" Type="http://schemas.openxmlformats.org/officeDocument/2006/relationships/hyperlink" Target="mailto:tcampbell@cityofsaline.org" TargetMode="External"/><Relationship Id="rId1" Type="http://schemas.openxmlformats.org/officeDocument/2006/relationships/hyperlink" Target="mailto:eric.zuzga@quincy-mi.org" TargetMode="External"/><Relationship Id="rId6" Type="http://schemas.openxmlformats.org/officeDocument/2006/relationships/hyperlink" Target="mailto:GGallagher@springlaketwp.org" TargetMode="External"/><Relationship Id="rId15" Type="http://schemas.openxmlformats.org/officeDocument/2006/relationships/hyperlink" Target="mailto:citymanager@norwaymi.gov" TargetMode="External"/><Relationship Id="rId23" Type="http://schemas.openxmlformats.org/officeDocument/2006/relationships/hyperlink" Target="mailto:TTarkiewicz@cityofmarshall.com" TargetMode="External"/><Relationship Id="rId28" Type="http://schemas.openxmlformats.org/officeDocument/2006/relationships/hyperlink" Target="mailto:jhanifan@city-chelsea.org" TargetMode="External"/><Relationship Id="rId36" Type="http://schemas.openxmlformats.org/officeDocument/2006/relationships/hyperlink" Target="mailto:citymanager@cityofironmountain.com" TargetMode="External"/><Relationship Id="rId49" Type="http://schemas.openxmlformats.org/officeDocument/2006/relationships/hyperlink" Target="mailto:kvtreasurer@villageofkingsley.com" TargetMode="External"/><Relationship Id="rId57" Type="http://schemas.openxmlformats.org/officeDocument/2006/relationships/hyperlink" Target="mailto:jpotts@easttawas.com" TargetMode="External"/><Relationship Id="rId10" Type="http://schemas.openxmlformats.org/officeDocument/2006/relationships/hyperlink" Target="mailto:cmathis@visitunioncity.com" TargetMode="External"/><Relationship Id="rId31" Type="http://schemas.openxmlformats.org/officeDocument/2006/relationships/hyperlink" Target="mailto:johnmstanley@hotmail.com" TargetMode="External"/><Relationship Id="rId44" Type="http://schemas.openxmlformats.org/officeDocument/2006/relationships/hyperlink" Target="mailto:jolsonmanager@gmail.com" TargetMode="External"/><Relationship Id="rId52" Type="http://schemas.openxmlformats.org/officeDocument/2006/relationships/hyperlink" Target="mailto:JThelen@watertowntownship.com" TargetMode="External"/><Relationship Id="rId60" Type="http://schemas.openxmlformats.org/officeDocument/2006/relationships/hyperlink" Target="mailto:barrytongov@gmail.com" TargetMode="External"/><Relationship Id="rId65" Type="http://schemas.openxmlformats.org/officeDocument/2006/relationships/hyperlink" Target="mailto:christine@springlakevillage.org" TargetMode="External"/><Relationship Id="rId73" Type="http://schemas.openxmlformats.org/officeDocument/2006/relationships/hyperlink" Target="mailto:sjanson@cityofnorthmuskegon.com" TargetMode="External"/><Relationship Id="rId78" Type="http://schemas.openxmlformats.org/officeDocument/2006/relationships/hyperlink" Target="mailto:mpollock@cityofclawson.com" TargetMode="External"/><Relationship Id="rId81" Type="http://schemas.openxmlformats.org/officeDocument/2006/relationships/hyperlink" Target="mailto:ontmgr@jamadots.com" TargetMode="External"/><Relationship Id="rId86" Type="http://schemas.openxmlformats.org/officeDocument/2006/relationships/hyperlink" Target="mailto:prayl@auburnmi.org" TargetMode="External"/><Relationship Id="rId4" Type="http://schemas.openxmlformats.org/officeDocument/2006/relationships/hyperlink" Target="mailto:dswallow@tecumseh.mi.us" TargetMode="External"/><Relationship Id="rId9" Type="http://schemas.openxmlformats.org/officeDocument/2006/relationships/hyperlink" Target="mailto:srickard@ci.hart.mi.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62"/>
  <sheetViews>
    <sheetView tabSelected="1" topLeftCell="B1" zoomScale="80" zoomScaleNormal="80" workbookViewId="0">
      <selection activeCell="H147" sqref="H147"/>
    </sheetView>
  </sheetViews>
  <sheetFormatPr defaultRowHeight="15" x14ac:dyDescent="0.2"/>
  <cols>
    <col min="1" max="1" width="46.33203125" customWidth="1"/>
    <col min="2" max="2" width="27.5546875" customWidth="1"/>
    <col min="3" max="4" width="14.21875" style="1" customWidth="1"/>
    <col min="5" max="5" width="11.77734375" style="1" customWidth="1"/>
    <col min="6" max="6" width="16.6640625" style="1" customWidth="1"/>
    <col min="7" max="7" width="3" customWidth="1"/>
    <col min="8" max="8" width="68.6640625" style="18" customWidth="1"/>
    <col min="9" max="11" width="15.33203125" customWidth="1"/>
    <col min="12" max="12" width="13.77734375" customWidth="1"/>
    <col min="14" max="15" width="10.109375" customWidth="1"/>
    <col min="18" max="19" width="11.44140625" customWidth="1"/>
    <col min="21" max="21" width="8.88671875" style="8"/>
  </cols>
  <sheetData>
    <row r="1" spans="1:29" x14ac:dyDescent="0.2">
      <c r="B1" s="159" t="s">
        <v>0</v>
      </c>
      <c r="C1" s="159"/>
      <c r="D1" s="159"/>
      <c r="E1" s="159"/>
      <c r="F1" s="159"/>
      <c r="G1" s="159"/>
      <c r="H1" s="159"/>
      <c r="I1" s="159"/>
      <c r="J1" s="88"/>
      <c r="K1" s="89"/>
      <c r="V1" s="9"/>
      <c r="W1" s="9"/>
      <c r="X1" s="9"/>
      <c r="Y1" s="9"/>
      <c r="Z1" s="9"/>
      <c r="AA1" s="9"/>
      <c r="AB1" s="9"/>
      <c r="AC1" s="9"/>
    </row>
    <row r="2" spans="1:29" x14ac:dyDescent="0.2">
      <c r="B2" s="159" t="s">
        <v>1</v>
      </c>
      <c r="C2" s="159"/>
      <c r="D2" s="159"/>
      <c r="E2" s="159"/>
      <c r="F2" s="159"/>
      <c r="G2" s="159"/>
      <c r="H2" s="159"/>
      <c r="I2" s="159"/>
      <c r="J2" s="88"/>
      <c r="K2" s="89"/>
      <c r="V2" s="9"/>
      <c r="W2" s="9"/>
      <c r="X2" s="9"/>
      <c r="Y2" s="9"/>
      <c r="Z2" s="9"/>
      <c r="AA2" s="9"/>
      <c r="AB2" s="9"/>
      <c r="AC2" s="9"/>
    </row>
    <row r="3" spans="1:29" x14ac:dyDescent="0.2">
      <c r="B3" s="159" t="s">
        <v>7</v>
      </c>
      <c r="C3" s="159"/>
      <c r="D3" s="159"/>
      <c r="E3" s="159"/>
      <c r="F3" s="159"/>
      <c r="G3" s="159"/>
      <c r="H3" s="159"/>
      <c r="I3" s="159"/>
      <c r="J3" s="88"/>
      <c r="K3" s="89"/>
      <c r="V3" s="9"/>
      <c r="W3" s="9"/>
      <c r="X3" s="9"/>
      <c r="Y3" s="9"/>
      <c r="Z3" s="9"/>
      <c r="AA3" s="9"/>
      <c r="AB3" s="9"/>
      <c r="AC3" s="9"/>
    </row>
    <row r="4" spans="1:29" x14ac:dyDescent="0.2">
      <c r="V4" s="9"/>
      <c r="W4" s="9"/>
      <c r="X4" s="9"/>
      <c r="Y4" s="9"/>
      <c r="Z4" s="9"/>
      <c r="AA4" s="9"/>
      <c r="AB4" s="9"/>
      <c r="AC4" s="9"/>
    </row>
    <row r="5" spans="1:29" s="5" customFormat="1" ht="75" x14ac:dyDescent="0.2">
      <c r="A5" s="41" t="s">
        <v>50</v>
      </c>
      <c r="B5" s="42" t="s">
        <v>2</v>
      </c>
      <c r="C5" s="43" t="s">
        <v>108</v>
      </c>
      <c r="D5" s="43" t="s">
        <v>109</v>
      </c>
      <c r="E5" s="43" t="s">
        <v>110</v>
      </c>
      <c r="F5" s="43" t="s">
        <v>119</v>
      </c>
      <c r="G5" s="42"/>
      <c r="H5" s="44" t="s">
        <v>114</v>
      </c>
      <c r="I5" s="45" t="s">
        <v>367</v>
      </c>
      <c r="J5" s="94" t="s">
        <v>395</v>
      </c>
      <c r="K5" s="100" t="s">
        <v>414</v>
      </c>
      <c r="L5" s="46" t="s">
        <v>368</v>
      </c>
      <c r="M5" s="45" t="s">
        <v>115</v>
      </c>
      <c r="N5" s="94" t="s">
        <v>396</v>
      </c>
      <c r="O5" s="100" t="s">
        <v>416</v>
      </c>
      <c r="P5" s="46" t="s">
        <v>116</v>
      </c>
      <c r="Q5" s="45" t="s">
        <v>117</v>
      </c>
      <c r="R5" s="94" t="s">
        <v>397</v>
      </c>
      <c r="S5" s="100" t="s">
        <v>417</v>
      </c>
      <c r="T5" s="47" t="s">
        <v>118</v>
      </c>
      <c r="U5" s="15"/>
      <c r="V5" s="93"/>
      <c r="W5" s="93"/>
      <c r="X5" s="93"/>
      <c r="Y5" s="93"/>
      <c r="Z5" s="93"/>
      <c r="AA5" s="93"/>
      <c r="AB5" s="93"/>
      <c r="AC5" s="93"/>
    </row>
    <row r="6" spans="1:29" ht="15.75" thickBot="1" x14ac:dyDescent="0.25">
      <c r="A6" s="48"/>
      <c r="B6" s="12"/>
      <c r="C6" s="49"/>
      <c r="D6" s="49"/>
      <c r="E6" s="49"/>
      <c r="F6" s="50" t="s">
        <v>5</v>
      </c>
      <c r="G6" s="12"/>
      <c r="H6" s="5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52"/>
      <c r="U6" s="15"/>
      <c r="V6" s="9"/>
      <c r="W6" s="9"/>
      <c r="X6" s="9"/>
      <c r="Y6" s="9"/>
      <c r="Z6" s="9"/>
      <c r="AA6" s="9"/>
      <c r="AB6" s="9"/>
      <c r="AC6" s="9"/>
    </row>
    <row r="7" spans="1:29" s="9" customFormat="1" x14ac:dyDescent="0.2">
      <c r="A7" s="108"/>
      <c r="B7" s="109"/>
      <c r="C7" s="110"/>
      <c r="D7" s="110"/>
      <c r="E7" s="110"/>
      <c r="F7" s="110"/>
      <c r="G7" s="109"/>
      <c r="H7" s="111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2"/>
      <c r="U7" s="145" t="s">
        <v>424</v>
      </c>
    </row>
    <row r="8" spans="1:29" x14ac:dyDescent="0.2">
      <c r="A8" s="113" t="s">
        <v>220</v>
      </c>
      <c r="B8" s="12" t="s">
        <v>27</v>
      </c>
      <c r="C8" s="49">
        <v>8.1</v>
      </c>
      <c r="D8" s="49">
        <v>13.2</v>
      </c>
      <c r="E8" s="49"/>
      <c r="F8" s="49">
        <f t="shared" ref="F8:F38" si="0">+D8+C8+E8</f>
        <v>21.299999999999997</v>
      </c>
      <c r="G8" s="12"/>
      <c r="H8" s="51" t="s">
        <v>221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14"/>
      <c r="U8" s="15"/>
      <c r="V8" s="9"/>
      <c r="W8" s="9"/>
      <c r="X8" s="9"/>
      <c r="Y8" s="9"/>
      <c r="Z8" s="9"/>
      <c r="AA8" s="9"/>
      <c r="AB8" s="9"/>
      <c r="AC8" s="9"/>
    </row>
    <row r="9" spans="1:29" x14ac:dyDescent="0.2">
      <c r="A9" s="113" t="s">
        <v>42</v>
      </c>
      <c r="B9" s="12" t="s">
        <v>25</v>
      </c>
      <c r="C9" s="49">
        <v>0</v>
      </c>
      <c r="D9" s="49">
        <v>22.1</v>
      </c>
      <c r="E9" s="49"/>
      <c r="F9" s="49">
        <f t="shared" si="0"/>
        <v>22.1</v>
      </c>
      <c r="G9" s="12"/>
      <c r="H9" s="51" t="s">
        <v>26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14"/>
      <c r="U9" s="15"/>
      <c r="V9" s="9"/>
      <c r="W9" s="9"/>
      <c r="X9" s="9"/>
      <c r="Y9" s="9"/>
      <c r="Z9" s="9"/>
      <c r="AA9" s="9"/>
      <c r="AB9" s="9"/>
      <c r="AC9" s="9"/>
    </row>
    <row r="10" spans="1:29" s="6" customFormat="1" x14ac:dyDescent="0.2">
      <c r="A10" s="113" t="s">
        <v>73</v>
      </c>
      <c r="B10" s="12" t="s">
        <v>74</v>
      </c>
      <c r="C10" s="49">
        <v>4.46</v>
      </c>
      <c r="D10" s="49">
        <v>18.899999999999999</v>
      </c>
      <c r="E10" s="49"/>
      <c r="F10" s="49">
        <f t="shared" si="0"/>
        <v>23.36</v>
      </c>
      <c r="G10" s="12"/>
      <c r="H10" s="51" t="s">
        <v>76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14"/>
      <c r="U10" s="15"/>
      <c r="V10" s="9"/>
      <c r="W10" s="9"/>
      <c r="X10" s="9"/>
      <c r="Y10" s="9"/>
      <c r="Z10" s="9"/>
      <c r="AA10" s="9"/>
      <c r="AB10" s="9"/>
      <c r="AC10" s="9"/>
    </row>
    <row r="11" spans="1:29" x14ac:dyDescent="0.2">
      <c r="A11" s="113" t="s">
        <v>202</v>
      </c>
      <c r="B11" s="12" t="s">
        <v>203</v>
      </c>
      <c r="C11" s="49">
        <v>15.42</v>
      </c>
      <c r="D11" s="49">
        <v>9</v>
      </c>
      <c r="E11" s="49"/>
      <c r="F11" s="49">
        <f t="shared" si="0"/>
        <v>24.42</v>
      </c>
      <c r="G11" s="12"/>
      <c r="H11" s="51" t="s">
        <v>236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14"/>
      <c r="V11" s="9"/>
      <c r="W11" s="9"/>
      <c r="X11" s="9"/>
      <c r="Y11" s="9"/>
      <c r="Z11" s="9"/>
      <c r="AA11" s="9"/>
      <c r="AB11" s="9"/>
      <c r="AC11" s="9"/>
    </row>
    <row r="12" spans="1:29" s="6" customFormat="1" x14ac:dyDescent="0.2">
      <c r="A12" s="113" t="s">
        <v>227</v>
      </c>
      <c r="B12" s="12" t="s">
        <v>228</v>
      </c>
      <c r="C12" s="49">
        <v>0</v>
      </c>
      <c r="D12" s="49">
        <v>31.67</v>
      </c>
      <c r="E12" s="49"/>
      <c r="F12" s="49">
        <f t="shared" si="0"/>
        <v>31.67</v>
      </c>
      <c r="G12" s="12"/>
      <c r="H12" s="51" t="s">
        <v>229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14"/>
      <c r="U12" s="8"/>
      <c r="V12" s="9"/>
      <c r="W12" s="9"/>
      <c r="X12" s="9"/>
      <c r="Y12" s="9"/>
      <c r="Z12" s="9"/>
      <c r="AA12" s="9"/>
      <c r="AB12" s="9"/>
      <c r="AC12" s="9"/>
    </row>
    <row r="13" spans="1:29" s="6" customFormat="1" x14ac:dyDescent="0.2">
      <c r="A13" s="113" t="s">
        <v>67</v>
      </c>
      <c r="B13" s="12" t="s">
        <v>68</v>
      </c>
      <c r="C13" s="49">
        <v>10.82</v>
      </c>
      <c r="D13" s="49">
        <v>21.73</v>
      </c>
      <c r="E13" s="49"/>
      <c r="F13" s="49">
        <f t="shared" si="0"/>
        <v>32.549999999999997</v>
      </c>
      <c r="G13" s="12"/>
      <c r="H13" s="5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14"/>
      <c r="U13" s="8"/>
      <c r="V13" s="9"/>
      <c r="W13" s="9"/>
      <c r="X13" s="9"/>
      <c r="Y13" s="9"/>
      <c r="Z13" s="9"/>
      <c r="AA13" s="9"/>
      <c r="AB13" s="9"/>
      <c r="AC13" s="9"/>
    </row>
    <row r="14" spans="1:29" s="8" customFormat="1" x14ac:dyDescent="0.2">
      <c r="A14" s="113" t="s">
        <v>73</v>
      </c>
      <c r="B14" s="12" t="s">
        <v>75</v>
      </c>
      <c r="C14" s="49">
        <v>14.63</v>
      </c>
      <c r="D14" s="49">
        <v>18.899999999999999</v>
      </c>
      <c r="E14" s="49"/>
      <c r="F14" s="49">
        <f t="shared" si="0"/>
        <v>33.53</v>
      </c>
      <c r="G14" s="12"/>
      <c r="H14" s="51" t="s">
        <v>76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14"/>
      <c r="V14" s="9"/>
      <c r="W14" s="9"/>
      <c r="X14" s="9"/>
      <c r="Y14" s="9"/>
      <c r="Z14" s="9"/>
      <c r="AA14" s="9"/>
      <c r="AB14" s="9"/>
      <c r="AC14" s="9"/>
    </row>
    <row r="15" spans="1:29" s="6" customFormat="1" x14ac:dyDescent="0.2">
      <c r="A15" s="115" t="s">
        <v>222</v>
      </c>
      <c r="B15" s="10" t="s">
        <v>223</v>
      </c>
      <c r="C15" s="11">
        <f>5.5+4.8</f>
        <v>10.3</v>
      </c>
      <c r="D15" s="11">
        <v>25</v>
      </c>
      <c r="E15" s="11"/>
      <c r="F15" s="11">
        <f t="shared" si="0"/>
        <v>35.299999999999997</v>
      </c>
      <c r="G15" s="10"/>
      <c r="H15" s="63" t="s">
        <v>410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6"/>
      <c r="U15" s="8"/>
      <c r="V15" s="9"/>
      <c r="W15" s="9"/>
      <c r="X15" s="9"/>
      <c r="Y15" s="9"/>
      <c r="Z15" s="9"/>
      <c r="AA15" s="9"/>
      <c r="AB15" s="9"/>
      <c r="AC15" s="9"/>
    </row>
    <row r="16" spans="1:29" s="6" customFormat="1" x14ac:dyDescent="0.2">
      <c r="A16" s="113" t="s">
        <v>194</v>
      </c>
      <c r="B16" s="12" t="s">
        <v>195</v>
      </c>
      <c r="C16" s="49">
        <v>16.25</v>
      </c>
      <c r="D16" s="49">
        <v>20.100000000000001</v>
      </c>
      <c r="E16" s="49"/>
      <c r="F16" s="49">
        <f t="shared" si="0"/>
        <v>36.35</v>
      </c>
      <c r="G16" s="12"/>
      <c r="H16" s="5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14"/>
      <c r="U16" s="8"/>
      <c r="V16" s="9"/>
      <c r="W16" s="9"/>
      <c r="X16" s="9"/>
      <c r="Y16" s="9"/>
      <c r="Z16" s="9"/>
      <c r="AA16" s="9"/>
      <c r="AB16" s="9"/>
      <c r="AC16" s="9"/>
    </row>
    <row r="17" spans="1:29" s="6" customFormat="1" x14ac:dyDescent="0.2">
      <c r="A17" s="113" t="s">
        <v>92</v>
      </c>
      <c r="B17" s="12" t="s">
        <v>93</v>
      </c>
      <c r="C17" s="49">
        <f>1.83*6</f>
        <v>10.98</v>
      </c>
      <c r="D17" s="49">
        <f>4.35*6</f>
        <v>26.099999999999998</v>
      </c>
      <c r="E17" s="49"/>
      <c r="F17" s="49">
        <f t="shared" si="0"/>
        <v>37.08</v>
      </c>
      <c r="G17" s="12"/>
      <c r="H17" s="5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14"/>
      <c r="U17" s="8"/>
      <c r="V17" s="9"/>
      <c r="W17" s="9"/>
      <c r="X17" s="9"/>
      <c r="Y17" s="9"/>
      <c r="Z17" s="9"/>
      <c r="AA17" s="9"/>
      <c r="AB17" s="9"/>
      <c r="AC17" s="9"/>
    </row>
    <row r="18" spans="1:29" s="6" customFormat="1" x14ac:dyDescent="0.2">
      <c r="A18" s="113" t="s">
        <v>34</v>
      </c>
      <c r="B18" s="12" t="s">
        <v>16</v>
      </c>
      <c r="C18" s="49">
        <v>12.24</v>
      </c>
      <c r="D18" s="49">
        <v>28.31</v>
      </c>
      <c r="E18" s="49"/>
      <c r="F18" s="49">
        <f t="shared" si="0"/>
        <v>40.549999999999997</v>
      </c>
      <c r="G18" s="12"/>
      <c r="H18" s="5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14"/>
      <c r="U18" s="16"/>
      <c r="V18" s="9"/>
      <c r="W18" s="9"/>
      <c r="X18" s="9"/>
      <c r="Y18" s="9"/>
      <c r="Z18" s="9"/>
      <c r="AA18" s="9"/>
      <c r="AB18" s="9"/>
      <c r="AC18" s="9"/>
    </row>
    <row r="19" spans="1:29" s="6" customFormat="1" x14ac:dyDescent="0.2">
      <c r="A19" s="117" t="s">
        <v>36</v>
      </c>
      <c r="B19" s="23" t="s">
        <v>11</v>
      </c>
      <c r="C19" s="56">
        <v>21.26</v>
      </c>
      <c r="D19" s="56">
        <v>23.22</v>
      </c>
      <c r="E19" s="56"/>
      <c r="F19" s="56">
        <f t="shared" si="0"/>
        <v>44.480000000000004</v>
      </c>
      <c r="G19" s="23"/>
      <c r="H19" s="57"/>
      <c r="I19" s="23"/>
      <c r="J19" s="23"/>
      <c r="K19" s="23"/>
      <c r="L19" s="58">
        <f>+F19</f>
        <v>44.480000000000004</v>
      </c>
      <c r="M19" s="23"/>
      <c r="N19" s="23"/>
      <c r="O19" s="23"/>
      <c r="P19" s="58">
        <f>+C19</f>
        <v>21.26</v>
      </c>
      <c r="Q19" s="23"/>
      <c r="R19" s="23"/>
      <c r="S19" s="23"/>
      <c r="T19" s="118">
        <f>+D19</f>
        <v>23.22</v>
      </c>
      <c r="U19" s="8"/>
      <c r="V19" s="9"/>
      <c r="W19" s="9"/>
      <c r="X19" s="9"/>
      <c r="Y19" s="9"/>
      <c r="Z19" s="9"/>
      <c r="AA19" s="9"/>
      <c r="AB19" s="9"/>
      <c r="AC19" s="9"/>
    </row>
    <row r="20" spans="1:29" s="6" customFormat="1" x14ac:dyDescent="0.2">
      <c r="A20" s="113" t="s">
        <v>288</v>
      </c>
      <c r="B20" s="12" t="s">
        <v>289</v>
      </c>
      <c r="C20" s="49">
        <v>19.39</v>
      </c>
      <c r="D20" s="49">
        <v>26.93</v>
      </c>
      <c r="E20" s="49"/>
      <c r="F20" s="49">
        <f t="shared" si="0"/>
        <v>46.32</v>
      </c>
      <c r="G20" s="12"/>
      <c r="H20" s="51" t="s">
        <v>290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14"/>
      <c r="U20" s="8"/>
      <c r="V20" s="9"/>
      <c r="W20" s="9"/>
      <c r="X20" s="9"/>
      <c r="Y20" s="9"/>
      <c r="Z20" s="9"/>
      <c r="AA20" s="9"/>
      <c r="AB20" s="9"/>
      <c r="AC20" s="9"/>
    </row>
    <row r="21" spans="1:29" s="6" customFormat="1" x14ac:dyDescent="0.2">
      <c r="A21" s="113" t="s">
        <v>270</v>
      </c>
      <c r="B21" s="10" t="s">
        <v>271</v>
      </c>
      <c r="C21" s="49">
        <v>22.16</v>
      </c>
      <c r="D21" s="49">
        <v>24.88</v>
      </c>
      <c r="E21" s="49"/>
      <c r="F21" s="49">
        <f t="shared" si="0"/>
        <v>47.04</v>
      </c>
      <c r="G21" s="12"/>
      <c r="H21" s="51" t="s">
        <v>272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14"/>
      <c r="U21" s="8"/>
      <c r="V21" s="9"/>
      <c r="W21" s="9"/>
      <c r="X21" s="9"/>
      <c r="Y21" s="9"/>
      <c r="Z21" s="9"/>
      <c r="AA21" s="9"/>
      <c r="AB21" s="9"/>
      <c r="AC21" s="9"/>
    </row>
    <row r="22" spans="1:29" s="6" customFormat="1" x14ac:dyDescent="0.2">
      <c r="A22" s="119" t="s">
        <v>37</v>
      </c>
      <c r="B22" s="59" t="s">
        <v>9</v>
      </c>
      <c r="C22" s="60">
        <f>12.96+3.83</f>
        <v>16.79</v>
      </c>
      <c r="D22" s="60">
        <f>27.06+3.83</f>
        <v>30.89</v>
      </c>
      <c r="E22" s="60"/>
      <c r="F22" s="60">
        <f t="shared" si="0"/>
        <v>47.68</v>
      </c>
      <c r="G22" s="59"/>
      <c r="H22" s="61" t="s">
        <v>12</v>
      </c>
      <c r="I22" s="62">
        <f>+F22</f>
        <v>47.68</v>
      </c>
      <c r="J22" s="62"/>
      <c r="K22" s="62"/>
      <c r="L22" s="59"/>
      <c r="M22" s="62">
        <f>+C22</f>
        <v>16.79</v>
      </c>
      <c r="N22" s="62"/>
      <c r="O22" s="62"/>
      <c r="P22" s="59"/>
      <c r="Q22" s="62">
        <f>+D22</f>
        <v>30.89</v>
      </c>
      <c r="R22" s="62"/>
      <c r="S22" s="62"/>
      <c r="T22" s="120"/>
      <c r="U22" s="8"/>
      <c r="V22" s="9"/>
      <c r="W22" s="9"/>
      <c r="X22" s="9"/>
      <c r="Y22" s="9"/>
      <c r="Z22" s="9"/>
      <c r="AA22" s="9"/>
      <c r="AB22" s="9"/>
      <c r="AC22" s="9"/>
    </row>
    <row r="23" spans="1:29" s="6" customFormat="1" x14ac:dyDescent="0.2">
      <c r="A23" s="113" t="s">
        <v>131</v>
      </c>
      <c r="B23" s="10" t="s">
        <v>132</v>
      </c>
      <c r="C23" s="11">
        <v>25.1</v>
      </c>
      <c r="D23" s="11">
        <v>24.2</v>
      </c>
      <c r="E23" s="11"/>
      <c r="F23" s="11">
        <f t="shared" si="0"/>
        <v>49.3</v>
      </c>
      <c r="G23" s="10"/>
      <c r="H23" s="63" t="s">
        <v>133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6"/>
      <c r="U23" s="8"/>
      <c r="V23" s="9"/>
      <c r="W23" s="9"/>
      <c r="X23" s="9"/>
      <c r="Y23" s="9"/>
      <c r="Z23" s="9"/>
      <c r="AA23" s="9"/>
      <c r="AB23" s="9"/>
      <c r="AC23" s="9"/>
    </row>
    <row r="24" spans="1:29" s="7" customFormat="1" x14ac:dyDescent="0.2">
      <c r="A24" s="113" t="s">
        <v>263</v>
      </c>
      <c r="B24" s="12" t="s">
        <v>264</v>
      </c>
      <c r="C24" s="49">
        <v>13.8</v>
      </c>
      <c r="D24" s="49">
        <v>21</v>
      </c>
      <c r="E24" s="49">
        <f>49.65-34.8</f>
        <v>14.850000000000001</v>
      </c>
      <c r="F24" s="49">
        <f t="shared" si="0"/>
        <v>49.65</v>
      </c>
      <c r="G24" s="12"/>
      <c r="H24" s="51" t="s">
        <v>377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14"/>
      <c r="U24" s="8"/>
      <c r="V24" s="9"/>
      <c r="W24" s="9"/>
      <c r="X24" s="9"/>
      <c r="Y24" s="9"/>
      <c r="Z24" s="9"/>
      <c r="AA24" s="9"/>
      <c r="AB24" s="9"/>
      <c r="AC24" s="9"/>
    </row>
    <row r="25" spans="1:29" x14ac:dyDescent="0.2">
      <c r="A25" s="113" t="s">
        <v>39</v>
      </c>
      <c r="B25" s="12" t="s">
        <v>21</v>
      </c>
      <c r="C25" s="49">
        <v>10.33</v>
      </c>
      <c r="D25" s="49">
        <v>39.71</v>
      </c>
      <c r="E25" s="49"/>
      <c r="F25" s="49">
        <f t="shared" si="0"/>
        <v>50.04</v>
      </c>
      <c r="G25" s="12"/>
      <c r="H25" s="5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14"/>
      <c r="V25" s="9"/>
      <c r="W25" s="9"/>
      <c r="X25" s="9"/>
      <c r="Y25" s="9"/>
      <c r="Z25" s="9"/>
      <c r="AA25" s="9"/>
      <c r="AB25" s="9"/>
      <c r="AC25" s="9"/>
    </row>
    <row r="26" spans="1:29" s="24" customFormat="1" x14ac:dyDescent="0.2">
      <c r="A26" s="121"/>
      <c r="B26" s="53" t="s">
        <v>419</v>
      </c>
      <c r="C26" s="54">
        <v>17.940000000000001</v>
      </c>
      <c r="D26" s="54">
        <v>32.21</v>
      </c>
      <c r="E26" s="54"/>
      <c r="F26" s="54">
        <f t="shared" si="0"/>
        <v>50.150000000000006</v>
      </c>
      <c r="G26" s="53"/>
      <c r="H26" s="55"/>
      <c r="I26" s="53"/>
      <c r="J26" s="95">
        <f>+F26</f>
        <v>50.150000000000006</v>
      </c>
      <c r="K26" s="95"/>
      <c r="L26" s="53"/>
      <c r="M26" s="53"/>
      <c r="N26" s="95">
        <f>+C26</f>
        <v>17.940000000000001</v>
      </c>
      <c r="O26" s="95"/>
      <c r="P26" s="53"/>
      <c r="Q26" s="53"/>
      <c r="R26" s="95">
        <f>+D26</f>
        <v>32.21</v>
      </c>
      <c r="S26" s="95"/>
      <c r="T26" s="122"/>
      <c r="U26" s="8"/>
      <c r="V26" s="9"/>
      <c r="W26" s="9"/>
      <c r="X26" s="9"/>
      <c r="Y26" s="9"/>
      <c r="Z26" s="9"/>
      <c r="AA26" s="9"/>
      <c r="AB26" s="9"/>
      <c r="AC26" s="9"/>
    </row>
    <row r="27" spans="1:29" x14ac:dyDescent="0.2">
      <c r="A27" s="113" t="s">
        <v>280</v>
      </c>
      <c r="B27" s="12" t="s">
        <v>281</v>
      </c>
      <c r="C27" s="49">
        <v>0</v>
      </c>
      <c r="D27" s="49">
        <v>51</v>
      </c>
      <c r="E27" s="49"/>
      <c r="F27" s="49">
        <f t="shared" si="0"/>
        <v>51</v>
      </c>
      <c r="G27" s="12"/>
      <c r="H27" s="51" t="s">
        <v>282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14"/>
      <c r="V27" s="9"/>
      <c r="W27" s="9"/>
      <c r="X27" s="9"/>
      <c r="Y27" s="9"/>
      <c r="Z27" s="9"/>
      <c r="AA27" s="9"/>
      <c r="AB27" s="9"/>
      <c r="AC27" s="9"/>
    </row>
    <row r="28" spans="1:29" s="24" customFormat="1" x14ac:dyDescent="0.2">
      <c r="A28" s="121"/>
      <c r="B28" s="53" t="s">
        <v>420</v>
      </c>
      <c r="C28" s="54">
        <v>18.62</v>
      </c>
      <c r="D28" s="54">
        <v>33.04</v>
      </c>
      <c r="E28" s="54"/>
      <c r="F28" s="54">
        <f t="shared" si="0"/>
        <v>51.66</v>
      </c>
      <c r="G28" s="53"/>
      <c r="H28" s="55"/>
      <c r="I28" s="53"/>
      <c r="J28" s="95">
        <f>+F28</f>
        <v>51.66</v>
      </c>
      <c r="K28" s="95"/>
      <c r="L28" s="53"/>
      <c r="M28" s="53"/>
      <c r="N28" s="95">
        <f>+C28</f>
        <v>18.62</v>
      </c>
      <c r="O28" s="95"/>
      <c r="P28" s="53"/>
      <c r="Q28" s="53"/>
      <c r="R28" s="95">
        <f>+D28</f>
        <v>33.04</v>
      </c>
      <c r="S28" s="95"/>
      <c r="T28" s="122"/>
      <c r="U28" s="8"/>
      <c r="V28" s="9"/>
      <c r="W28" s="9"/>
      <c r="X28" s="9"/>
      <c r="Y28" s="9"/>
      <c r="Z28" s="9"/>
      <c r="AA28" s="9"/>
      <c r="AB28" s="9"/>
      <c r="AC28" s="9"/>
    </row>
    <row r="29" spans="1:29" s="21" customFormat="1" x14ac:dyDescent="0.2">
      <c r="A29" s="113" t="s">
        <v>89</v>
      </c>
      <c r="B29" s="12" t="s">
        <v>90</v>
      </c>
      <c r="C29" s="49">
        <v>18.309999999999999</v>
      </c>
      <c r="D29" s="49">
        <v>33.46</v>
      </c>
      <c r="E29" s="49"/>
      <c r="F29" s="49">
        <f t="shared" si="0"/>
        <v>51.769999999999996</v>
      </c>
      <c r="G29" s="12"/>
      <c r="H29" s="51" t="s">
        <v>91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14"/>
      <c r="U29" s="8"/>
      <c r="V29" s="9"/>
      <c r="W29" s="9"/>
      <c r="X29" s="9"/>
      <c r="Y29" s="9"/>
      <c r="Z29" s="9"/>
      <c r="AA29" s="9"/>
      <c r="AB29" s="9"/>
      <c r="AC29" s="9"/>
    </row>
    <row r="30" spans="1:29" ht="15.75" x14ac:dyDescent="0.25">
      <c r="A30" s="123" t="s">
        <v>215</v>
      </c>
      <c r="B30" s="12" t="s">
        <v>214</v>
      </c>
      <c r="C30" s="49">
        <v>29.6</v>
      </c>
      <c r="D30" s="49">
        <v>23.37</v>
      </c>
      <c r="E30" s="49"/>
      <c r="F30" s="49">
        <f t="shared" si="0"/>
        <v>52.97</v>
      </c>
      <c r="G30" s="12"/>
      <c r="H30" s="51" t="s">
        <v>216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14"/>
      <c r="V30" s="9"/>
      <c r="W30" s="9"/>
      <c r="X30" s="9"/>
      <c r="Y30" s="9"/>
      <c r="Z30" s="9"/>
      <c r="AA30" s="9"/>
      <c r="AB30" s="9"/>
      <c r="AC30" s="9"/>
    </row>
    <row r="31" spans="1:29" x14ac:dyDescent="0.2">
      <c r="A31" s="113" t="s">
        <v>51</v>
      </c>
      <c r="B31" s="12" t="s">
        <v>52</v>
      </c>
      <c r="C31" s="49">
        <v>13.43</v>
      </c>
      <c r="D31" s="49">
        <v>30.56</v>
      </c>
      <c r="E31" s="49">
        <f>5.94+3.06</f>
        <v>9</v>
      </c>
      <c r="F31" s="49">
        <f t="shared" si="0"/>
        <v>52.989999999999995</v>
      </c>
      <c r="G31" s="12"/>
      <c r="H31" s="51" t="s">
        <v>53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14"/>
      <c r="V31" s="9"/>
      <c r="W31" s="9"/>
      <c r="X31" s="9"/>
      <c r="Y31" s="9"/>
      <c r="Z31" s="9"/>
      <c r="AA31" s="9"/>
      <c r="AB31" s="9"/>
      <c r="AC31" s="9"/>
    </row>
    <row r="32" spans="1:29" x14ac:dyDescent="0.2">
      <c r="A32" s="113" t="s">
        <v>331</v>
      </c>
      <c r="B32" s="12" t="s">
        <v>332</v>
      </c>
      <c r="C32" s="49">
        <f>14.36+6.4</f>
        <v>20.759999999999998</v>
      </c>
      <c r="D32" s="49">
        <f>22.3+10.02</f>
        <v>32.32</v>
      </c>
      <c r="E32" s="49"/>
      <c r="F32" s="49">
        <f t="shared" si="0"/>
        <v>53.08</v>
      </c>
      <c r="G32" s="12"/>
      <c r="H32" s="51" t="s">
        <v>333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14"/>
      <c r="V32" s="9"/>
      <c r="W32" s="9"/>
      <c r="X32" s="9"/>
      <c r="Y32" s="9"/>
      <c r="Z32" s="9"/>
      <c r="AA32" s="9"/>
      <c r="AB32" s="9"/>
      <c r="AC32" s="9"/>
    </row>
    <row r="33" spans="1:29" s="24" customFormat="1" x14ac:dyDescent="0.2">
      <c r="A33" s="121"/>
      <c r="B33" s="53" t="s">
        <v>421</v>
      </c>
      <c r="C33" s="54">
        <v>19.84</v>
      </c>
      <c r="D33" s="54">
        <v>34.4</v>
      </c>
      <c r="E33" s="54"/>
      <c r="F33" s="54">
        <f t="shared" si="0"/>
        <v>54.239999999999995</v>
      </c>
      <c r="G33" s="53"/>
      <c r="H33" s="55"/>
      <c r="I33" s="53"/>
      <c r="J33" s="95">
        <f>+F33</f>
        <v>54.239999999999995</v>
      </c>
      <c r="K33" s="95"/>
      <c r="L33" s="53"/>
      <c r="M33" s="53"/>
      <c r="N33" s="95">
        <f>+C33</f>
        <v>19.84</v>
      </c>
      <c r="O33" s="95"/>
      <c r="P33" s="53"/>
      <c r="Q33" s="53"/>
      <c r="R33" s="95">
        <f>+D33</f>
        <v>34.4</v>
      </c>
      <c r="S33" s="95"/>
      <c r="T33" s="122"/>
      <c r="U33" s="8"/>
      <c r="V33" s="9"/>
      <c r="W33" s="9"/>
      <c r="X33" s="9"/>
      <c r="Y33" s="9"/>
      <c r="Z33" s="9"/>
      <c r="AA33" s="9"/>
      <c r="AB33" s="9"/>
      <c r="AC33" s="9"/>
    </row>
    <row r="34" spans="1:29" x14ac:dyDescent="0.2">
      <c r="A34" s="113" t="s">
        <v>137</v>
      </c>
      <c r="B34" s="10" t="s">
        <v>138</v>
      </c>
      <c r="C34" s="11">
        <f>10.05+11.81+1.31</f>
        <v>23.169999999999998</v>
      </c>
      <c r="D34" s="11">
        <f>15.6+1.91+14.11</f>
        <v>31.619999999999997</v>
      </c>
      <c r="E34" s="11"/>
      <c r="F34" s="49">
        <f t="shared" si="0"/>
        <v>54.789999999999992</v>
      </c>
      <c r="G34" s="12"/>
      <c r="H34" s="51" t="s">
        <v>268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14"/>
      <c r="V34" s="9"/>
      <c r="W34" s="9"/>
      <c r="X34" s="9"/>
      <c r="Y34" s="9"/>
      <c r="Z34" s="9"/>
      <c r="AA34" s="9"/>
      <c r="AB34" s="9"/>
      <c r="AC34" s="9"/>
    </row>
    <row r="35" spans="1:29" s="24" customFormat="1" x14ac:dyDescent="0.2">
      <c r="A35" s="121"/>
      <c r="B35" s="53" t="s">
        <v>422</v>
      </c>
      <c r="C35" s="54">
        <v>20.59</v>
      </c>
      <c r="D35" s="54">
        <v>35.29</v>
      </c>
      <c r="E35" s="54"/>
      <c r="F35" s="54">
        <f t="shared" si="0"/>
        <v>55.879999999999995</v>
      </c>
      <c r="G35" s="53"/>
      <c r="H35" s="55"/>
      <c r="I35" s="53"/>
      <c r="J35" s="95">
        <f>+F35</f>
        <v>55.879999999999995</v>
      </c>
      <c r="K35" s="95"/>
      <c r="L35" s="53"/>
      <c r="M35" s="53"/>
      <c r="N35" s="95">
        <f>+C35</f>
        <v>20.59</v>
      </c>
      <c r="O35" s="95"/>
      <c r="P35" s="53"/>
      <c r="Q35" s="53"/>
      <c r="R35" s="95">
        <f>+D35</f>
        <v>35.29</v>
      </c>
      <c r="S35" s="95"/>
      <c r="T35" s="122"/>
      <c r="U35" s="8"/>
      <c r="V35" s="9"/>
      <c r="W35" s="9"/>
      <c r="X35" s="9"/>
      <c r="Y35" s="9"/>
      <c r="Z35" s="9"/>
      <c r="AA35" s="9"/>
      <c r="AB35" s="9"/>
      <c r="AC35" s="9"/>
    </row>
    <row r="36" spans="1:29" x14ac:dyDescent="0.2">
      <c r="A36" s="113" t="s">
        <v>217</v>
      </c>
      <c r="B36" s="12" t="s">
        <v>218</v>
      </c>
      <c r="C36" s="49">
        <v>23</v>
      </c>
      <c r="D36" s="49">
        <v>33</v>
      </c>
      <c r="E36" s="49"/>
      <c r="F36" s="49">
        <f t="shared" si="0"/>
        <v>56</v>
      </c>
      <c r="G36" s="12"/>
      <c r="H36" s="51" t="s">
        <v>219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14"/>
      <c r="V36" s="9"/>
      <c r="W36" s="9"/>
      <c r="X36" s="9"/>
      <c r="Y36" s="9"/>
      <c r="Z36" s="9"/>
      <c r="AA36" s="9"/>
      <c r="AB36" s="9"/>
      <c r="AC36" s="9"/>
    </row>
    <row r="37" spans="1:29" x14ac:dyDescent="0.2">
      <c r="A37" s="113" t="s">
        <v>57</v>
      </c>
      <c r="B37" s="12" t="s">
        <v>58</v>
      </c>
      <c r="C37" s="49">
        <v>23.5</v>
      </c>
      <c r="D37" s="49">
        <v>32.6</v>
      </c>
      <c r="E37" s="49"/>
      <c r="F37" s="49">
        <f t="shared" si="0"/>
        <v>56.1</v>
      </c>
      <c r="G37" s="12"/>
      <c r="H37" s="5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14"/>
      <c r="V37" s="9"/>
      <c r="W37" s="9"/>
      <c r="X37" s="9"/>
      <c r="Y37" s="9"/>
      <c r="Z37" s="9"/>
      <c r="AA37" s="9"/>
      <c r="AB37" s="9"/>
      <c r="AC37" s="9"/>
    </row>
    <row r="38" spans="1:29" x14ac:dyDescent="0.2">
      <c r="A38" s="117" t="s">
        <v>273</v>
      </c>
      <c r="B38" s="23" t="s">
        <v>269</v>
      </c>
      <c r="C38" s="56">
        <v>23.22</v>
      </c>
      <c r="D38" s="56">
        <v>33.11</v>
      </c>
      <c r="E38" s="56"/>
      <c r="F38" s="56">
        <f t="shared" si="0"/>
        <v>56.33</v>
      </c>
      <c r="G38" s="23"/>
      <c r="H38" s="57"/>
      <c r="I38" s="58"/>
      <c r="J38" s="58"/>
      <c r="K38" s="58"/>
      <c r="L38" s="58">
        <f>+F38</f>
        <v>56.33</v>
      </c>
      <c r="M38" s="23"/>
      <c r="N38" s="23"/>
      <c r="O38" s="23"/>
      <c r="P38" s="58">
        <f>+C38</f>
        <v>23.22</v>
      </c>
      <c r="Q38" s="23"/>
      <c r="R38" s="23"/>
      <c r="S38" s="23"/>
      <c r="T38" s="118">
        <f>+D38</f>
        <v>33.11</v>
      </c>
      <c r="V38" s="9"/>
      <c r="W38" s="9"/>
      <c r="X38" s="9"/>
      <c r="Y38" s="9"/>
      <c r="Z38" s="9"/>
      <c r="AA38" s="9"/>
      <c r="AB38" s="9"/>
      <c r="AC38" s="9"/>
    </row>
    <row r="39" spans="1:29" ht="15.75" x14ac:dyDescent="0.25">
      <c r="A39" s="124" t="s">
        <v>212</v>
      </c>
      <c r="B39" s="12" t="s">
        <v>10</v>
      </c>
      <c r="C39" s="49">
        <f>10.5+12.08</f>
        <v>22.58</v>
      </c>
      <c r="D39" s="49">
        <f>15.9+13.17</f>
        <v>29.07</v>
      </c>
      <c r="E39" s="49">
        <v>4.8</v>
      </c>
      <c r="F39" s="49">
        <f t="shared" ref="F39:F70" si="1">+D39+C39+E39</f>
        <v>56.449999999999996</v>
      </c>
      <c r="G39" s="12"/>
      <c r="H39" s="65" t="s">
        <v>213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14"/>
      <c r="U39" s="16"/>
      <c r="V39" s="9"/>
      <c r="W39" s="9"/>
      <c r="X39" s="9"/>
      <c r="Y39" s="9"/>
      <c r="Z39" s="9"/>
      <c r="AA39" s="9"/>
      <c r="AB39" s="9"/>
      <c r="AC39" s="9"/>
    </row>
    <row r="40" spans="1:29" x14ac:dyDescent="0.2">
      <c r="A40" s="113" t="s">
        <v>62</v>
      </c>
      <c r="B40" s="12" t="s">
        <v>63</v>
      </c>
      <c r="C40" s="49">
        <v>14.54</v>
      </c>
      <c r="D40" s="49">
        <v>42.57</v>
      </c>
      <c r="E40" s="49"/>
      <c r="F40" s="49">
        <f t="shared" si="1"/>
        <v>57.11</v>
      </c>
      <c r="G40" s="12"/>
      <c r="H40" s="51" t="s">
        <v>64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14"/>
      <c r="V40" s="9"/>
      <c r="W40" s="9"/>
      <c r="X40" s="9"/>
      <c r="Y40" s="9"/>
      <c r="Z40" s="9"/>
      <c r="AA40" s="9"/>
      <c r="AB40" s="9"/>
      <c r="AC40" s="9"/>
    </row>
    <row r="41" spans="1:29" x14ac:dyDescent="0.2">
      <c r="A41" s="113" t="s">
        <v>112</v>
      </c>
      <c r="B41" s="12" t="s">
        <v>113</v>
      </c>
      <c r="C41" s="49">
        <v>30.36</v>
      </c>
      <c r="D41" s="49">
        <v>26.98</v>
      </c>
      <c r="E41" s="49"/>
      <c r="F41" s="49">
        <f t="shared" si="1"/>
        <v>57.34</v>
      </c>
      <c r="G41" s="12"/>
      <c r="H41" s="5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14"/>
      <c r="V41" s="9"/>
      <c r="W41" s="9"/>
      <c r="X41" s="9"/>
      <c r="Y41" s="9"/>
      <c r="Z41" s="9"/>
      <c r="AA41" s="9"/>
      <c r="AB41" s="9"/>
      <c r="AC41" s="9"/>
    </row>
    <row r="42" spans="1:29" x14ac:dyDescent="0.2">
      <c r="A42" s="113" t="s">
        <v>170</v>
      </c>
      <c r="B42" s="12" t="s">
        <v>171</v>
      </c>
      <c r="C42" s="49">
        <f>(2.96*8.020833)+6</f>
        <v>29.741665679999997</v>
      </c>
      <c r="D42" s="49">
        <f>(2.704*8.020833)+6</f>
        <v>27.688332431999999</v>
      </c>
      <c r="E42" s="49"/>
      <c r="F42" s="49">
        <f t="shared" si="1"/>
        <v>57.429998111999993</v>
      </c>
      <c r="G42" s="12"/>
      <c r="H42" s="5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14"/>
      <c r="V42" s="9"/>
      <c r="W42" s="9"/>
      <c r="X42" s="9"/>
      <c r="Y42" s="9"/>
      <c r="Z42" s="9"/>
      <c r="AA42" s="9"/>
      <c r="AB42" s="9"/>
      <c r="AC42" s="9"/>
    </row>
    <row r="43" spans="1:29" s="4" customFormat="1" x14ac:dyDescent="0.2">
      <c r="A43" s="113" t="s">
        <v>315</v>
      </c>
      <c r="B43" s="12" t="s">
        <v>316</v>
      </c>
      <c r="C43" s="49">
        <f>14.4</f>
        <v>14.4</v>
      </c>
      <c r="D43" s="49">
        <v>20.22</v>
      </c>
      <c r="E43" s="49">
        <v>22.87</v>
      </c>
      <c r="F43" s="49">
        <f t="shared" si="1"/>
        <v>57.489999999999995</v>
      </c>
      <c r="G43" s="12"/>
      <c r="H43" s="51" t="s">
        <v>317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14"/>
      <c r="U43" s="16"/>
    </row>
    <row r="44" spans="1:29" ht="30" x14ac:dyDescent="0.2">
      <c r="A44" s="125" t="s">
        <v>277</v>
      </c>
      <c r="B44" s="66" t="s">
        <v>278</v>
      </c>
      <c r="C44" s="67">
        <f>19.15+17+1.77</f>
        <v>37.92</v>
      </c>
      <c r="D44" s="67">
        <f>15.63+4</f>
        <v>19.630000000000003</v>
      </c>
      <c r="E44" s="67"/>
      <c r="F44" s="67">
        <f t="shared" si="1"/>
        <v>57.550000000000004</v>
      </c>
      <c r="G44" s="66"/>
      <c r="H44" s="51" t="s">
        <v>279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126"/>
      <c r="U44" s="16"/>
    </row>
    <row r="45" spans="1:29" s="22" customFormat="1" x14ac:dyDescent="0.2">
      <c r="A45" s="127" t="s">
        <v>311</v>
      </c>
      <c r="B45" s="23" t="s">
        <v>3</v>
      </c>
      <c r="C45" s="56">
        <v>22.89</v>
      </c>
      <c r="D45" s="56">
        <v>34.78</v>
      </c>
      <c r="E45" s="56"/>
      <c r="F45" s="56">
        <f t="shared" si="1"/>
        <v>57.67</v>
      </c>
      <c r="G45" s="23"/>
      <c r="H45" s="57"/>
      <c r="I45" s="23"/>
      <c r="J45" s="23"/>
      <c r="K45" s="23"/>
      <c r="L45" s="58">
        <f>+F45</f>
        <v>57.67</v>
      </c>
      <c r="M45" s="23"/>
      <c r="N45" s="23"/>
      <c r="O45" s="23"/>
      <c r="P45" s="58">
        <f>+C45</f>
        <v>22.89</v>
      </c>
      <c r="Q45" s="23"/>
      <c r="R45" s="23"/>
      <c r="S45" s="23"/>
      <c r="T45" s="118">
        <f>+D45</f>
        <v>34.78</v>
      </c>
      <c r="U45" s="16"/>
    </row>
    <row r="46" spans="1:29" ht="30" x14ac:dyDescent="0.2">
      <c r="A46" s="125" t="s">
        <v>379</v>
      </c>
      <c r="B46" s="71" t="s">
        <v>380</v>
      </c>
      <c r="C46" s="72">
        <v>21.8</v>
      </c>
      <c r="D46" s="72">
        <v>36.43</v>
      </c>
      <c r="E46" s="72"/>
      <c r="F46" s="72">
        <f t="shared" si="1"/>
        <v>58.230000000000004</v>
      </c>
      <c r="G46" s="71"/>
      <c r="H46" s="63" t="s">
        <v>381</v>
      </c>
      <c r="I46" s="71"/>
      <c r="J46" s="71"/>
      <c r="K46" s="71"/>
      <c r="L46" s="87"/>
      <c r="M46" s="71"/>
      <c r="N46" s="71"/>
      <c r="O46" s="71"/>
      <c r="P46" s="87"/>
      <c r="Q46" s="71"/>
      <c r="R46" s="71"/>
      <c r="S46" s="71"/>
      <c r="T46" s="128"/>
      <c r="U46" s="16"/>
    </row>
    <row r="47" spans="1:29" s="24" customFormat="1" x14ac:dyDescent="0.2">
      <c r="A47" s="129"/>
      <c r="B47" s="53" t="s">
        <v>399</v>
      </c>
      <c r="C47" s="90">
        <v>21.87</v>
      </c>
      <c r="D47" s="90">
        <v>36.700000000000003</v>
      </c>
      <c r="E47" s="90"/>
      <c r="F47" s="90">
        <f t="shared" si="1"/>
        <v>58.570000000000007</v>
      </c>
      <c r="G47" s="91"/>
      <c r="H47" s="55"/>
      <c r="I47" s="91"/>
      <c r="J47" s="92">
        <f>+F47</f>
        <v>58.570000000000007</v>
      </c>
      <c r="K47" s="92"/>
      <c r="L47" s="92"/>
      <c r="M47" s="91"/>
      <c r="N47" s="92">
        <f>+C47</f>
        <v>21.87</v>
      </c>
      <c r="O47" s="92"/>
      <c r="P47" s="92"/>
      <c r="Q47" s="91"/>
      <c r="R47" s="92">
        <f>+D47</f>
        <v>36.700000000000003</v>
      </c>
      <c r="S47" s="92"/>
      <c r="T47" s="130"/>
      <c r="U47" s="16"/>
    </row>
    <row r="48" spans="1:29" s="4" customFormat="1" ht="18.75" customHeight="1" x14ac:dyDescent="0.2">
      <c r="A48" s="113" t="s">
        <v>48</v>
      </c>
      <c r="B48" s="12" t="s">
        <v>49</v>
      </c>
      <c r="C48" s="49">
        <v>23.82</v>
      </c>
      <c r="D48" s="49">
        <v>34.880000000000003</v>
      </c>
      <c r="E48" s="49"/>
      <c r="F48" s="49">
        <f t="shared" si="1"/>
        <v>58.7</v>
      </c>
      <c r="G48" s="12"/>
      <c r="H48" s="5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14"/>
      <c r="U48" s="16"/>
    </row>
    <row r="49" spans="1:39" x14ac:dyDescent="0.2">
      <c r="A49" s="113" t="s">
        <v>149</v>
      </c>
      <c r="B49" s="12" t="s">
        <v>150</v>
      </c>
      <c r="C49" s="49">
        <v>26.76</v>
      </c>
      <c r="D49" s="11">
        <v>32.549999999999997</v>
      </c>
      <c r="E49" s="11"/>
      <c r="F49" s="11">
        <f t="shared" si="1"/>
        <v>59.31</v>
      </c>
      <c r="G49" s="10"/>
      <c r="H49" s="63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16"/>
      <c r="U49" s="16"/>
    </row>
    <row r="50" spans="1:39" s="9" customFormat="1" x14ac:dyDescent="0.2">
      <c r="A50" s="117" t="s">
        <v>98</v>
      </c>
      <c r="B50" s="23" t="s">
        <v>97</v>
      </c>
      <c r="C50" s="56">
        <f>12.66+14.58</f>
        <v>27.240000000000002</v>
      </c>
      <c r="D50" s="56">
        <f>19.38+13.13</f>
        <v>32.51</v>
      </c>
      <c r="E50" s="56"/>
      <c r="F50" s="56">
        <f t="shared" si="1"/>
        <v>59.75</v>
      </c>
      <c r="G50" s="23"/>
      <c r="H50" s="57" t="s">
        <v>99</v>
      </c>
      <c r="I50" s="23"/>
      <c r="J50" s="23"/>
      <c r="K50" s="23"/>
      <c r="L50" s="58">
        <f>+F50</f>
        <v>59.75</v>
      </c>
      <c r="M50" s="23"/>
      <c r="N50" s="23"/>
      <c r="O50" s="23"/>
      <c r="P50" s="58">
        <f>+C50</f>
        <v>27.240000000000002</v>
      </c>
      <c r="Q50" s="23"/>
      <c r="R50" s="23"/>
      <c r="S50" s="23"/>
      <c r="T50" s="118">
        <f>+D50</f>
        <v>32.51</v>
      </c>
      <c r="U50" s="16"/>
    </row>
    <row r="51" spans="1:39" s="9" customFormat="1" x14ac:dyDescent="0.2">
      <c r="A51" s="113" t="s">
        <v>405</v>
      </c>
      <c r="B51" s="10" t="s">
        <v>151</v>
      </c>
      <c r="C51" s="49">
        <f>24.55+1.55+3.42</f>
        <v>29.520000000000003</v>
      </c>
      <c r="D51" s="49">
        <f>25.45+1.61+3.56</f>
        <v>30.619999999999997</v>
      </c>
      <c r="E51" s="49"/>
      <c r="F51" s="49">
        <f t="shared" si="1"/>
        <v>60.14</v>
      </c>
      <c r="G51" s="12"/>
      <c r="H51" s="51" t="s">
        <v>406</v>
      </c>
      <c r="I51" s="12"/>
      <c r="J51" s="12"/>
      <c r="K51" s="12"/>
      <c r="L51" s="12"/>
      <c r="M51" s="12"/>
      <c r="N51" s="52"/>
      <c r="O51" s="10"/>
      <c r="P51" s="10"/>
      <c r="Q51" s="10"/>
      <c r="R51" s="10"/>
      <c r="S51" s="10"/>
      <c r="T51" s="116"/>
      <c r="U51" s="16"/>
    </row>
    <row r="52" spans="1:39" x14ac:dyDescent="0.2">
      <c r="A52" s="113" t="s">
        <v>186</v>
      </c>
      <c r="B52" s="12" t="s">
        <v>187</v>
      </c>
      <c r="C52" s="49">
        <v>24.84</v>
      </c>
      <c r="D52" s="49">
        <v>35.6</v>
      </c>
      <c r="E52" s="49"/>
      <c r="F52" s="49">
        <f t="shared" si="1"/>
        <v>60.44</v>
      </c>
      <c r="G52" s="12"/>
      <c r="H52" s="5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14"/>
      <c r="U52" s="16"/>
    </row>
    <row r="53" spans="1:39" s="4" customFormat="1" ht="16.5" customHeight="1" x14ac:dyDescent="0.2">
      <c r="A53" s="113" t="s">
        <v>59</v>
      </c>
      <c r="B53" s="12" t="s">
        <v>60</v>
      </c>
      <c r="C53" s="49">
        <v>31.65</v>
      </c>
      <c r="D53" s="49">
        <v>29.36</v>
      </c>
      <c r="E53" s="49"/>
      <c r="F53" s="49">
        <f t="shared" si="1"/>
        <v>61.01</v>
      </c>
      <c r="G53" s="12"/>
      <c r="H53" s="5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14"/>
      <c r="U53" s="8"/>
    </row>
    <row r="54" spans="1:39" x14ac:dyDescent="0.2">
      <c r="A54" s="113" t="s">
        <v>263</v>
      </c>
      <c r="B54" s="12" t="s">
        <v>265</v>
      </c>
      <c r="C54" s="49">
        <v>13.8</v>
      </c>
      <c r="D54" s="49">
        <v>21</v>
      </c>
      <c r="E54" s="49">
        <f>61.53-34.8</f>
        <v>26.730000000000004</v>
      </c>
      <c r="F54" s="49">
        <f t="shared" si="1"/>
        <v>61.53</v>
      </c>
      <c r="G54" s="12"/>
      <c r="H54" s="51" t="s">
        <v>378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14"/>
    </row>
    <row r="55" spans="1:39" x14ac:dyDescent="0.2">
      <c r="A55" s="113" t="s">
        <v>291</v>
      </c>
      <c r="B55" s="12" t="s">
        <v>292</v>
      </c>
      <c r="C55" s="49">
        <v>27.5</v>
      </c>
      <c r="D55" s="49">
        <v>34.03</v>
      </c>
      <c r="E55" s="49"/>
      <c r="F55" s="49">
        <f t="shared" si="1"/>
        <v>61.53</v>
      </c>
      <c r="G55" s="12"/>
      <c r="H55" s="5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14"/>
      <c r="U55" s="16"/>
    </row>
    <row r="56" spans="1:39" x14ac:dyDescent="0.2">
      <c r="A56" s="113" t="s">
        <v>299</v>
      </c>
      <c r="B56" s="12" t="s">
        <v>207</v>
      </c>
      <c r="C56" s="49">
        <f>2.45*6</f>
        <v>14.700000000000001</v>
      </c>
      <c r="D56" s="49">
        <f>2.55*6</f>
        <v>15.299999999999999</v>
      </c>
      <c r="E56" s="49">
        <v>31.67</v>
      </c>
      <c r="F56" s="49">
        <f t="shared" si="1"/>
        <v>61.67</v>
      </c>
      <c r="G56" s="12"/>
      <c r="H56" s="51" t="s">
        <v>298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14"/>
    </row>
    <row r="57" spans="1:39" ht="30" x14ac:dyDescent="0.2">
      <c r="A57" s="113" t="s">
        <v>159</v>
      </c>
      <c r="B57" s="12" t="s">
        <v>160</v>
      </c>
      <c r="C57" s="49">
        <f>13.47+12.15</f>
        <v>25.62</v>
      </c>
      <c r="D57" s="49">
        <f>20.61+17.08</f>
        <v>37.69</v>
      </c>
      <c r="E57" s="49"/>
      <c r="F57" s="49">
        <f t="shared" si="1"/>
        <v>63.31</v>
      </c>
      <c r="G57" s="12"/>
      <c r="H57" s="51" t="s">
        <v>161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14"/>
    </row>
    <row r="58" spans="1:39" x14ac:dyDescent="0.2">
      <c r="A58" s="113" t="s">
        <v>385</v>
      </c>
      <c r="B58" s="10" t="s">
        <v>386</v>
      </c>
      <c r="C58" s="49">
        <v>26.94</v>
      </c>
      <c r="D58" s="49">
        <v>32.700000000000003</v>
      </c>
      <c r="E58" s="49">
        <v>3.75</v>
      </c>
      <c r="F58" s="49">
        <f t="shared" si="1"/>
        <v>63.39</v>
      </c>
      <c r="G58" s="12"/>
      <c r="H58" s="51" t="s">
        <v>387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14"/>
    </row>
    <row r="59" spans="1:39" ht="30" x14ac:dyDescent="0.2">
      <c r="A59" s="113" t="s">
        <v>154</v>
      </c>
      <c r="B59" s="12" t="s">
        <v>155</v>
      </c>
      <c r="C59" s="49">
        <v>31.25</v>
      </c>
      <c r="D59" s="49">
        <v>32.24</v>
      </c>
      <c r="E59" s="49"/>
      <c r="F59" s="49">
        <f t="shared" si="1"/>
        <v>63.49</v>
      </c>
      <c r="G59" s="12"/>
      <c r="H59" s="51" t="s">
        <v>156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14"/>
    </row>
    <row r="60" spans="1:39" x14ac:dyDescent="0.2">
      <c r="A60" s="113" t="s">
        <v>230</v>
      </c>
      <c r="B60" s="12" t="s">
        <v>231</v>
      </c>
      <c r="C60" s="49">
        <v>29.53</v>
      </c>
      <c r="D60" s="49">
        <v>35.06</v>
      </c>
      <c r="E60" s="49"/>
      <c r="F60" s="49">
        <f t="shared" si="1"/>
        <v>64.59</v>
      </c>
      <c r="G60" s="12"/>
      <c r="H60" s="51" t="s">
        <v>232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14"/>
    </row>
    <row r="61" spans="1:39" x14ac:dyDescent="0.2">
      <c r="A61" s="113" t="s">
        <v>237</v>
      </c>
      <c r="B61" s="12" t="s">
        <v>238</v>
      </c>
      <c r="C61" s="49">
        <f>22.38+6.2</f>
        <v>28.58</v>
      </c>
      <c r="D61" s="49">
        <f>30.78+5.75</f>
        <v>36.53</v>
      </c>
      <c r="E61" s="49"/>
      <c r="F61" s="49">
        <f t="shared" si="1"/>
        <v>65.11</v>
      </c>
      <c r="G61" s="12"/>
      <c r="H61" s="51" t="s">
        <v>239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14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s="106" customFormat="1" x14ac:dyDescent="0.2">
      <c r="A62" s="131"/>
      <c r="B62" s="103" t="s">
        <v>400</v>
      </c>
      <c r="C62" s="102">
        <v>24.68</v>
      </c>
      <c r="D62" s="102">
        <v>41.04</v>
      </c>
      <c r="E62" s="102"/>
      <c r="F62" s="102">
        <f t="shared" si="1"/>
        <v>65.72</v>
      </c>
      <c r="G62" s="103"/>
      <c r="H62" s="104" t="s">
        <v>401</v>
      </c>
      <c r="I62" s="103"/>
      <c r="J62" s="103"/>
      <c r="K62" s="105">
        <f>+F62</f>
        <v>65.72</v>
      </c>
      <c r="L62" s="103"/>
      <c r="M62" s="103"/>
      <c r="N62" s="103"/>
      <c r="O62" s="105">
        <f>+C62</f>
        <v>24.68</v>
      </c>
      <c r="P62" s="103"/>
      <c r="Q62" s="103"/>
      <c r="R62" s="103"/>
      <c r="S62" s="105">
        <f>+D62</f>
        <v>41.04</v>
      </c>
      <c r="T62" s="132"/>
    </row>
    <row r="63" spans="1:39" x14ac:dyDescent="0.2">
      <c r="A63" s="113" t="s">
        <v>233</v>
      </c>
      <c r="B63" s="12" t="s">
        <v>234</v>
      </c>
      <c r="C63" s="49">
        <f>15.91+15</f>
        <v>30.91</v>
      </c>
      <c r="D63" s="49">
        <f>17.61+18</f>
        <v>35.61</v>
      </c>
      <c r="E63" s="49"/>
      <c r="F63" s="49">
        <f t="shared" si="1"/>
        <v>66.52</v>
      </c>
      <c r="G63" s="12"/>
      <c r="H63" s="51" t="s">
        <v>235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14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s="99" customFormat="1" x14ac:dyDescent="0.2">
      <c r="A64" s="133"/>
      <c r="B64" s="96" t="s">
        <v>398</v>
      </c>
      <c r="C64" s="97">
        <v>30.49</v>
      </c>
      <c r="D64" s="97">
        <v>36.409999999999997</v>
      </c>
      <c r="E64" s="97"/>
      <c r="F64" s="97">
        <f t="shared" si="1"/>
        <v>66.899999999999991</v>
      </c>
      <c r="G64" s="96"/>
      <c r="H64" s="98" t="s">
        <v>418</v>
      </c>
      <c r="I64" s="96"/>
      <c r="J64" s="96"/>
      <c r="K64" s="101">
        <f>+F64</f>
        <v>66.899999999999991</v>
      </c>
      <c r="L64" s="96"/>
      <c r="M64" s="96"/>
      <c r="N64" s="96"/>
      <c r="O64" s="101">
        <f>+C64</f>
        <v>30.49</v>
      </c>
      <c r="P64" s="96"/>
      <c r="Q64" s="96"/>
      <c r="R64" s="96"/>
      <c r="S64" s="101">
        <f>+D64</f>
        <v>36.409999999999997</v>
      </c>
      <c r="T64" s="134"/>
      <c r="U64" s="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x14ac:dyDescent="0.2">
      <c r="A65" s="113" t="s">
        <v>246</v>
      </c>
      <c r="B65" s="12" t="s">
        <v>249</v>
      </c>
      <c r="C65" s="49">
        <v>28.92</v>
      </c>
      <c r="D65" s="49">
        <v>31.44</v>
      </c>
      <c r="E65" s="49">
        <v>6.9</v>
      </c>
      <c r="F65" s="49">
        <f t="shared" si="1"/>
        <v>67.260000000000005</v>
      </c>
      <c r="G65" s="12"/>
      <c r="H65" s="51" t="s">
        <v>247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14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x14ac:dyDescent="0.2">
      <c r="A66" s="113" t="s">
        <v>30</v>
      </c>
      <c r="B66" s="12" t="s">
        <v>13</v>
      </c>
      <c r="C66" s="49">
        <v>33.4</v>
      </c>
      <c r="D66" s="49">
        <v>34.200000000000003</v>
      </c>
      <c r="E66" s="49"/>
      <c r="F66" s="49">
        <f t="shared" si="1"/>
        <v>67.599999999999994</v>
      </c>
      <c r="G66" s="12"/>
      <c r="H66" s="51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14"/>
    </row>
    <row r="67" spans="1:39" x14ac:dyDescent="0.2">
      <c r="A67" s="113" t="s">
        <v>35</v>
      </c>
      <c r="B67" s="12" t="s">
        <v>17</v>
      </c>
      <c r="C67" s="49">
        <v>29.32</v>
      </c>
      <c r="D67" s="49">
        <v>39</v>
      </c>
      <c r="E67" s="49"/>
      <c r="F67" s="49">
        <f t="shared" si="1"/>
        <v>68.319999999999993</v>
      </c>
      <c r="G67" s="12"/>
      <c r="H67" s="51" t="s">
        <v>18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14"/>
    </row>
    <row r="68" spans="1:39" x14ac:dyDescent="0.2">
      <c r="A68" s="113" t="s">
        <v>182</v>
      </c>
      <c r="B68" s="12" t="s">
        <v>183</v>
      </c>
      <c r="C68" s="49">
        <v>28.59</v>
      </c>
      <c r="D68" s="49">
        <v>40.369999999999997</v>
      </c>
      <c r="E68" s="49"/>
      <c r="F68" s="49">
        <f t="shared" si="1"/>
        <v>68.959999999999994</v>
      </c>
      <c r="G68" s="12"/>
      <c r="H68" s="51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14"/>
    </row>
    <row r="69" spans="1:39" x14ac:dyDescent="0.2">
      <c r="A69" s="113" t="s">
        <v>243</v>
      </c>
      <c r="B69" s="12" t="s">
        <v>244</v>
      </c>
      <c r="C69" s="49">
        <f>24.6+12.3</f>
        <v>36.900000000000006</v>
      </c>
      <c r="D69" s="49">
        <f>21.6+12</f>
        <v>33.6</v>
      </c>
      <c r="E69" s="49"/>
      <c r="F69" s="49">
        <f t="shared" si="1"/>
        <v>70.5</v>
      </c>
      <c r="G69" s="12"/>
      <c r="H69" s="51" t="s">
        <v>245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14"/>
    </row>
    <row r="70" spans="1:39" x14ac:dyDescent="0.2">
      <c r="A70" s="113" t="s">
        <v>306</v>
      </c>
      <c r="B70" s="12" t="s">
        <v>307</v>
      </c>
      <c r="C70" s="49">
        <v>39.270000000000003</v>
      </c>
      <c r="D70" s="49">
        <v>31.39</v>
      </c>
      <c r="E70" s="49"/>
      <c r="F70" s="49">
        <f t="shared" si="1"/>
        <v>70.66</v>
      </c>
      <c r="G70" s="12"/>
      <c r="H70" s="51" t="s">
        <v>309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14"/>
    </row>
    <row r="71" spans="1:39" x14ac:dyDescent="0.2">
      <c r="A71" s="113" t="s">
        <v>77</v>
      </c>
      <c r="B71" s="12" t="s">
        <v>78</v>
      </c>
      <c r="C71" s="49">
        <v>19.8</v>
      </c>
      <c r="D71" s="49">
        <v>51.34</v>
      </c>
      <c r="E71" s="49"/>
      <c r="F71" s="49">
        <f t="shared" ref="F71:F87" si="2">+D71+C71+E71</f>
        <v>71.14</v>
      </c>
      <c r="G71" s="12"/>
      <c r="H71" s="51" t="s">
        <v>79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14"/>
    </row>
    <row r="72" spans="1:39" s="3" customFormat="1" x14ac:dyDescent="0.2">
      <c r="A72" s="113" t="s">
        <v>38</v>
      </c>
      <c r="B72" s="12" t="s">
        <v>19</v>
      </c>
      <c r="C72" s="49">
        <v>33.19</v>
      </c>
      <c r="D72" s="49">
        <v>38.340000000000003</v>
      </c>
      <c r="E72" s="49"/>
      <c r="F72" s="49">
        <f t="shared" si="2"/>
        <v>71.53</v>
      </c>
      <c r="G72" s="12"/>
      <c r="H72" s="51" t="s">
        <v>20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14"/>
      <c r="U72" s="8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s="3" customFormat="1" x14ac:dyDescent="0.2">
      <c r="A73" s="113" t="s">
        <v>129</v>
      </c>
      <c r="B73" s="69" t="s">
        <v>130</v>
      </c>
      <c r="C73" s="11">
        <v>17.8</v>
      </c>
      <c r="D73" s="11">
        <v>54.02</v>
      </c>
      <c r="E73" s="11"/>
      <c r="F73" s="11">
        <f t="shared" si="2"/>
        <v>71.820000000000007</v>
      </c>
      <c r="G73" s="10"/>
      <c r="H73" s="63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16"/>
      <c r="U73" s="8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s="9" customFormat="1" x14ac:dyDescent="0.2">
      <c r="A74" s="113" t="s">
        <v>224</v>
      </c>
      <c r="B74" s="12" t="s">
        <v>225</v>
      </c>
      <c r="C74" s="49">
        <v>34.31</v>
      </c>
      <c r="D74" s="49">
        <v>38.67</v>
      </c>
      <c r="E74" s="49"/>
      <c r="F74" s="49">
        <f t="shared" si="2"/>
        <v>72.98</v>
      </c>
      <c r="G74" s="12"/>
      <c r="H74" s="51" t="s">
        <v>226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14"/>
      <c r="U74" s="8"/>
    </row>
    <row r="75" spans="1:39" s="9" customFormat="1" x14ac:dyDescent="0.2">
      <c r="A75" s="113" t="s">
        <v>300</v>
      </c>
      <c r="B75" s="12" t="s">
        <v>301</v>
      </c>
      <c r="C75" s="49">
        <v>28.89</v>
      </c>
      <c r="D75" s="49">
        <v>44.13</v>
      </c>
      <c r="E75" s="49"/>
      <c r="F75" s="49">
        <f t="shared" si="2"/>
        <v>73.02000000000001</v>
      </c>
      <c r="G75" s="12"/>
      <c r="H75" s="51" t="s">
        <v>302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14"/>
      <c r="U75" s="8"/>
    </row>
    <row r="76" spans="1:39" s="9" customFormat="1" x14ac:dyDescent="0.2">
      <c r="A76" s="113" t="s">
        <v>80</v>
      </c>
      <c r="B76" s="12" t="s">
        <v>107</v>
      </c>
      <c r="C76" s="49">
        <v>37.6</v>
      </c>
      <c r="D76" s="49">
        <v>35.64</v>
      </c>
      <c r="E76" s="49"/>
      <c r="F76" s="49">
        <f t="shared" si="2"/>
        <v>73.240000000000009</v>
      </c>
      <c r="G76" s="12"/>
      <c r="H76" s="51" t="s">
        <v>81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14"/>
      <c r="U76" s="8"/>
    </row>
    <row r="77" spans="1:39" s="8" customFormat="1" x14ac:dyDescent="0.2">
      <c r="A77" s="113" t="s">
        <v>306</v>
      </c>
      <c r="B77" s="12" t="s">
        <v>308</v>
      </c>
      <c r="C77" s="49">
        <v>40.32</v>
      </c>
      <c r="D77" s="49">
        <v>32.94</v>
      </c>
      <c r="E77" s="49"/>
      <c r="F77" s="49">
        <f t="shared" si="2"/>
        <v>73.259999999999991</v>
      </c>
      <c r="G77" s="12"/>
      <c r="H77" s="51" t="s">
        <v>310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14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s="9" customFormat="1" ht="15.75" x14ac:dyDescent="0.2">
      <c r="A78" s="113" t="s">
        <v>72</v>
      </c>
      <c r="B78" s="12" t="s">
        <v>65</v>
      </c>
      <c r="C78" s="49">
        <v>35.659999999999997</v>
      </c>
      <c r="D78" s="49">
        <v>38.06</v>
      </c>
      <c r="E78" s="49"/>
      <c r="F78" s="49">
        <f t="shared" si="2"/>
        <v>73.72</v>
      </c>
      <c r="G78" s="12"/>
      <c r="H78" s="70" t="s">
        <v>66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14"/>
      <c r="U78" s="8"/>
    </row>
    <row r="79" spans="1:39" s="7" customFormat="1" x14ac:dyDescent="0.2">
      <c r="A79" s="113" t="s">
        <v>393</v>
      </c>
      <c r="B79" s="10" t="s">
        <v>394</v>
      </c>
      <c r="C79" s="49">
        <v>39.25</v>
      </c>
      <c r="D79" s="49">
        <v>34.630000000000003</v>
      </c>
      <c r="E79" s="49"/>
      <c r="F79" s="49">
        <f t="shared" si="2"/>
        <v>73.88</v>
      </c>
      <c r="G79" s="12"/>
      <c r="H79" s="51" t="s">
        <v>392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14"/>
      <c r="U79" s="8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s="7" customFormat="1" x14ac:dyDescent="0.2">
      <c r="A80" s="113" t="s">
        <v>184</v>
      </c>
      <c r="B80" s="12" t="s">
        <v>185</v>
      </c>
      <c r="C80" s="49">
        <v>27.3</v>
      </c>
      <c r="D80" s="49">
        <v>47.1</v>
      </c>
      <c r="E80" s="49"/>
      <c r="F80" s="49">
        <f t="shared" si="2"/>
        <v>74.400000000000006</v>
      </c>
      <c r="G80" s="12"/>
      <c r="H80" s="51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14"/>
      <c r="U80" s="16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s="7" customFormat="1" x14ac:dyDescent="0.2">
      <c r="A81" s="113" t="s">
        <v>312</v>
      </c>
      <c r="B81" s="12" t="s">
        <v>313</v>
      </c>
      <c r="C81" s="49">
        <v>32.08</v>
      </c>
      <c r="D81" s="49">
        <v>42.44</v>
      </c>
      <c r="E81" s="49"/>
      <c r="F81" s="49">
        <f t="shared" si="2"/>
        <v>74.52</v>
      </c>
      <c r="G81" s="12"/>
      <c r="H81" s="51" t="s">
        <v>314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14"/>
      <c r="U81" s="16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s="4" customFormat="1" ht="33.75" customHeight="1" x14ac:dyDescent="0.2">
      <c r="A82" s="125" t="s">
        <v>162</v>
      </c>
      <c r="B82" s="66" t="s">
        <v>163</v>
      </c>
      <c r="C82" s="67">
        <f>11.4+10.38+1.04</f>
        <v>22.82</v>
      </c>
      <c r="D82" s="67">
        <f>21.72+20.75+9+0.3</f>
        <v>51.769999999999996</v>
      </c>
      <c r="E82" s="67"/>
      <c r="F82" s="67">
        <f t="shared" si="2"/>
        <v>74.59</v>
      </c>
      <c r="G82" s="66"/>
      <c r="H82" s="51" t="s">
        <v>164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126"/>
      <c r="U82" s="16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</row>
    <row r="83" spans="1:39" ht="30" x14ac:dyDescent="0.2">
      <c r="A83" s="125" t="s">
        <v>328</v>
      </c>
      <c r="B83" s="66" t="s">
        <v>329</v>
      </c>
      <c r="C83" s="67">
        <f>15.9+18.75</f>
        <v>34.65</v>
      </c>
      <c r="D83" s="67">
        <v>40</v>
      </c>
      <c r="E83" s="67"/>
      <c r="F83" s="67">
        <f t="shared" si="2"/>
        <v>74.650000000000006</v>
      </c>
      <c r="G83" s="66"/>
      <c r="H83" s="51" t="s">
        <v>330</v>
      </c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126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x14ac:dyDescent="0.2">
      <c r="A84" s="135" t="s">
        <v>126</v>
      </c>
      <c r="B84" s="71" t="s">
        <v>127</v>
      </c>
      <c r="C84" s="72">
        <v>30.71</v>
      </c>
      <c r="D84" s="72">
        <v>44.53</v>
      </c>
      <c r="E84" s="72"/>
      <c r="F84" s="72">
        <f t="shared" si="2"/>
        <v>75.240000000000009</v>
      </c>
      <c r="G84" s="71"/>
      <c r="H84" s="63" t="s">
        <v>128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136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x14ac:dyDescent="0.2">
      <c r="A85" s="113" t="s">
        <v>172</v>
      </c>
      <c r="B85" s="12" t="s">
        <v>173</v>
      </c>
      <c r="C85" s="49">
        <v>44.65</v>
      </c>
      <c r="D85" s="49">
        <v>30.66</v>
      </c>
      <c r="E85" s="49"/>
      <c r="F85" s="49">
        <f t="shared" si="2"/>
        <v>75.31</v>
      </c>
      <c r="G85" s="12"/>
      <c r="H85" s="51" t="s">
        <v>174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14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39" s="6" customFormat="1" ht="30" x14ac:dyDescent="0.2">
      <c r="A86" s="125" t="s">
        <v>165</v>
      </c>
      <c r="B86" s="66" t="s">
        <v>166</v>
      </c>
      <c r="C86" s="67">
        <v>25.53</v>
      </c>
      <c r="D86" s="67">
        <v>48.58</v>
      </c>
      <c r="E86" s="67">
        <v>1.25</v>
      </c>
      <c r="F86" s="67">
        <f t="shared" si="2"/>
        <v>75.36</v>
      </c>
      <c r="G86" s="66"/>
      <c r="H86" s="51" t="s">
        <v>201</v>
      </c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126"/>
      <c r="U86" s="8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x14ac:dyDescent="0.2">
      <c r="A87" s="113" t="s">
        <v>240</v>
      </c>
      <c r="B87" s="12" t="s">
        <v>241</v>
      </c>
      <c r="C87" s="49">
        <f>22.08+6.44</f>
        <v>28.52</v>
      </c>
      <c r="D87" s="49">
        <f>28.02+19.35</f>
        <v>47.370000000000005</v>
      </c>
      <c r="E87" s="49"/>
      <c r="F87" s="49">
        <f t="shared" si="2"/>
        <v>75.89</v>
      </c>
      <c r="G87" s="12"/>
      <c r="H87" s="51" t="s">
        <v>242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14"/>
      <c r="U87" s="16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x14ac:dyDescent="0.2">
      <c r="A88" s="113" t="s">
        <v>320</v>
      </c>
      <c r="B88" s="12" t="s">
        <v>319</v>
      </c>
      <c r="C88" s="49">
        <v>0</v>
      </c>
      <c r="D88" s="49">
        <v>0</v>
      </c>
      <c r="E88" s="49">
        <v>36.119999999999997</v>
      </c>
      <c r="F88" s="49">
        <f>+E88+39.9</f>
        <v>76.02</v>
      </c>
      <c r="G88" s="12"/>
      <c r="H88" s="51" t="s">
        <v>321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14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30" x14ac:dyDescent="0.2">
      <c r="A89" s="125" t="s">
        <v>411</v>
      </c>
      <c r="B89" s="10" t="s">
        <v>412</v>
      </c>
      <c r="C89" s="49">
        <f>29.34+5.63+4.33</f>
        <v>39.299999999999997</v>
      </c>
      <c r="D89" s="49">
        <f>23.94+5.68+7.14</f>
        <v>36.76</v>
      </c>
      <c r="E89" s="49"/>
      <c r="F89" s="67">
        <f t="shared" ref="F89:F112" si="3">+D89+C89+E89</f>
        <v>76.06</v>
      </c>
      <c r="G89" s="12"/>
      <c r="H89" s="51" t="s">
        <v>413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14"/>
    </row>
    <row r="90" spans="1:39" ht="30" x14ac:dyDescent="0.2">
      <c r="A90" s="125" t="s">
        <v>322</v>
      </c>
      <c r="B90" s="66" t="s">
        <v>157</v>
      </c>
      <c r="C90" s="67">
        <v>30.17</v>
      </c>
      <c r="D90" s="67">
        <v>47.67</v>
      </c>
      <c r="E90" s="67"/>
      <c r="F90" s="67">
        <f t="shared" si="3"/>
        <v>77.84</v>
      </c>
      <c r="G90" s="66"/>
      <c r="H90" s="51" t="s">
        <v>158</v>
      </c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126"/>
    </row>
    <row r="91" spans="1:39" x14ac:dyDescent="0.2">
      <c r="A91" s="113" t="s">
        <v>82</v>
      </c>
      <c r="B91" s="12" t="s">
        <v>83</v>
      </c>
      <c r="C91" s="49">
        <v>38.090000000000003</v>
      </c>
      <c r="D91" s="49">
        <v>40.229999999999997</v>
      </c>
      <c r="E91" s="49"/>
      <c r="F91" s="49">
        <f t="shared" si="3"/>
        <v>78.319999999999993</v>
      </c>
      <c r="G91" s="12"/>
      <c r="H91" s="5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14"/>
    </row>
    <row r="92" spans="1:39" x14ac:dyDescent="0.2">
      <c r="A92" s="113" t="s">
        <v>407</v>
      </c>
      <c r="B92" s="10" t="s">
        <v>408</v>
      </c>
      <c r="C92" s="49">
        <f>19.62+10.25</f>
        <v>29.87</v>
      </c>
      <c r="D92" s="49">
        <f>18.24+12.91+17.5</f>
        <v>48.65</v>
      </c>
      <c r="E92" s="49"/>
      <c r="F92" s="49">
        <f t="shared" si="3"/>
        <v>78.52</v>
      </c>
      <c r="G92" s="12"/>
      <c r="H92" s="51" t="s">
        <v>409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14"/>
    </row>
    <row r="93" spans="1:39" x14ac:dyDescent="0.2">
      <c r="A93" s="113" t="s">
        <v>191</v>
      </c>
      <c r="B93" s="12" t="s">
        <v>192</v>
      </c>
      <c r="C93" s="49">
        <v>24.18</v>
      </c>
      <c r="D93" s="49">
        <v>54.4</v>
      </c>
      <c r="E93" s="49"/>
      <c r="F93" s="49">
        <f t="shared" si="3"/>
        <v>78.58</v>
      </c>
      <c r="G93" s="12"/>
      <c r="H93" s="51" t="s">
        <v>193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14"/>
    </row>
    <row r="94" spans="1:39" s="9" customFormat="1" x14ac:dyDescent="0.2">
      <c r="A94" s="113" t="s">
        <v>252</v>
      </c>
      <c r="B94" s="12" t="s">
        <v>253</v>
      </c>
      <c r="C94" s="49">
        <v>39.5</v>
      </c>
      <c r="D94" s="49">
        <v>39.5</v>
      </c>
      <c r="E94" s="49"/>
      <c r="F94" s="49">
        <f t="shared" si="3"/>
        <v>79</v>
      </c>
      <c r="G94" s="12"/>
      <c r="H94" s="51" t="s">
        <v>254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14"/>
      <c r="U94" s="8"/>
    </row>
    <row r="95" spans="1:39" s="22" customFormat="1" x14ac:dyDescent="0.2">
      <c r="A95" s="113" t="s">
        <v>84</v>
      </c>
      <c r="B95" s="12" t="s">
        <v>85</v>
      </c>
      <c r="C95" s="49">
        <v>25.3</v>
      </c>
      <c r="D95" s="49">
        <v>54</v>
      </c>
      <c r="E95" s="49"/>
      <c r="F95" s="49">
        <f t="shared" si="3"/>
        <v>79.3</v>
      </c>
      <c r="G95" s="12"/>
      <c r="H95" s="51" t="s">
        <v>87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14"/>
      <c r="U95" s="8"/>
    </row>
    <row r="96" spans="1:39" s="9" customFormat="1" x14ac:dyDescent="0.2">
      <c r="A96" s="113" t="s">
        <v>204</v>
      </c>
      <c r="B96" s="12" t="s">
        <v>205</v>
      </c>
      <c r="C96" s="49">
        <f>10.24+13.62</f>
        <v>23.86</v>
      </c>
      <c r="D96" s="49">
        <f>22.5+33</f>
        <v>55.5</v>
      </c>
      <c r="E96" s="49"/>
      <c r="F96" s="49">
        <f t="shared" si="3"/>
        <v>79.36</v>
      </c>
      <c r="G96" s="12"/>
      <c r="H96" s="51" t="s">
        <v>206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14"/>
      <c r="U96" s="8"/>
    </row>
    <row r="97" spans="1:21" s="9" customFormat="1" x14ac:dyDescent="0.2">
      <c r="A97" s="113" t="s">
        <v>261</v>
      </c>
      <c r="B97" s="12" t="s">
        <v>260</v>
      </c>
      <c r="C97" s="49">
        <v>25.26</v>
      </c>
      <c r="D97" s="49">
        <v>53.28</v>
      </c>
      <c r="E97" s="49">
        <v>2.67</v>
      </c>
      <c r="F97" s="49">
        <f t="shared" si="3"/>
        <v>81.210000000000008</v>
      </c>
      <c r="G97" s="12"/>
      <c r="H97" s="51" t="s">
        <v>262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14"/>
      <c r="U97" s="8"/>
    </row>
    <row r="98" spans="1:21" s="22" customFormat="1" x14ac:dyDescent="0.2">
      <c r="A98" s="113" t="s">
        <v>84</v>
      </c>
      <c r="B98" s="12" t="s">
        <v>86</v>
      </c>
      <c r="C98" s="49">
        <v>30.25</v>
      </c>
      <c r="D98" s="49">
        <v>51.59</v>
      </c>
      <c r="E98" s="49"/>
      <c r="F98" s="49">
        <f t="shared" si="3"/>
        <v>81.84</v>
      </c>
      <c r="G98" s="12"/>
      <c r="H98" s="51" t="s">
        <v>88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14"/>
      <c r="U98" s="8"/>
    </row>
    <row r="99" spans="1:21" x14ac:dyDescent="0.2">
      <c r="A99" s="113" t="s">
        <v>188</v>
      </c>
      <c r="B99" s="12" t="s">
        <v>189</v>
      </c>
      <c r="C99" s="49">
        <f>23.76+18.1</f>
        <v>41.86</v>
      </c>
      <c r="D99" s="49">
        <f>10.5+31.17</f>
        <v>41.67</v>
      </c>
      <c r="E99" s="49"/>
      <c r="F99" s="49">
        <f t="shared" si="3"/>
        <v>83.53</v>
      </c>
      <c r="G99" s="12"/>
      <c r="H99" s="51" t="s">
        <v>190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14"/>
    </row>
    <row r="100" spans="1:21" s="4" customFormat="1" x14ac:dyDescent="0.2">
      <c r="A100" s="115" t="s">
        <v>134</v>
      </c>
      <c r="B100" s="10" t="s">
        <v>135</v>
      </c>
      <c r="C100" s="11">
        <v>14.2</v>
      </c>
      <c r="D100" s="11">
        <v>41.2</v>
      </c>
      <c r="E100" s="11">
        <f>6.67+21.67</f>
        <v>28.340000000000003</v>
      </c>
      <c r="F100" s="11">
        <f t="shared" si="3"/>
        <v>83.740000000000009</v>
      </c>
      <c r="G100" s="10"/>
      <c r="H100" s="63" t="s">
        <v>136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16"/>
      <c r="U100" s="8"/>
    </row>
    <row r="101" spans="1:21" x14ac:dyDescent="0.2">
      <c r="A101" s="113" t="s">
        <v>257</v>
      </c>
      <c r="B101" s="12" t="s">
        <v>258</v>
      </c>
      <c r="C101" s="49">
        <f>11.73+10.98</f>
        <v>22.71</v>
      </c>
      <c r="D101" s="49">
        <f>30.21+32.01</f>
        <v>62.22</v>
      </c>
      <c r="E101" s="49"/>
      <c r="F101" s="49">
        <f t="shared" si="3"/>
        <v>84.93</v>
      </c>
      <c r="G101" s="12"/>
      <c r="H101" s="51" t="s">
        <v>259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14"/>
    </row>
    <row r="102" spans="1:21" x14ac:dyDescent="0.2">
      <c r="A102" s="113" t="s">
        <v>175</v>
      </c>
      <c r="B102" s="12" t="s">
        <v>176</v>
      </c>
      <c r="C102" s="49">
        <v>39.200000000000003</v>
      </c>
      <c r="D102" s="49">
        <v>46.45</v>
      </c>
      <c r="E102" s="49"/>
      <c r="F102" s="49">
        <f t="shared" si="3"/>
        <v>85.65</v>
      </c>
      <c r="G102" s="12"/>
      <c r="H102" s="51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14"/>
    </row>
    <row r="103" spans="1:21" x14ac:dyDescent="0.2">
      <c r="A103" s="113" t="s">
        <v>303</v>
      </c>
      <c r="B103" s="12" t="s">
        <v>304</v>
      </c>
      <c r="C103" s="49">
        <v>24.23</v>
      </c>
      <c r="D103" s="49">
        <v>61.49</v>
      </c>
      <c r="E103" s="49"/>
      <c r="F103" s="49">
        <f t="shared" si="3"/>
        <v>85.72</v>
      </c>
      <c r="G103" s="12"/>
      <c r="H103" s="51" t="s">
        <v>305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14"/>
    </row>
    <row r="104" spans="1:21" x14ac:dyDescent="0.2">
      <c r="A104" s="113" t="s">
        <v>31</v>
      </c>
      <c r="B104" s="12" t="s">
        <v>32</v>
      </c>
      <c r="C104" s="49">
        <v>61</v>
      </c>
      <c r="D104" s="49">
        <v>24.75</v>
      </c>
      <c r="E104" s="49"/>
      <c r="F104" s="49">
        <f t="shared" si="3"/>
        <v>85.75</v>
      </c>
      <c r="G104" s="12"/>
      <c r="H104" s="51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14"/>
    </row>
    <row r="105" spans="1:21" x14ac:dyDescent="0.2">
      <c r="A105" s="113" t="s">
        <v>326</v>
      </c>
      <c r="B105" s="12" t="s">
        <v>327</v>
      </c>
      <c r="C105" s="49">
        <f>20.29+5.25</f>
        <v>25.54</v>
      </c>
      <c r="D105" s="49">
        <f>5+52.22+3.33</f>
        <v>60.55</v>
      </c>
      <c r="E105" s="49"/>
      <c r="F105" s="49">
        <f t="shared" si="3"/>
        <v>86.09</v>
      </c>
      <c r="G105" s="12"/>
      <c r="H105" s="51" t="s">
        <v>325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14"/>
    </row>
    <row r="106" spans="1:21" s="4" customFormat="1" x14ac:dyDescent="0.2">
      <c r="A106" s="113" t="s">
        <v>41</v>
      </c>
      <c r="B106" s="12" t="s">
        <v>24</v>
      </c>
      <c r="C106" s="49">
        <v>36</v>
      </c>
      <c r="D106" s="49">
        <v>50.19</v>
      </c>
      <c r="E106" s="49"/>
      <c r="F106" s="49">
        <f t="shared" si="3"/>
        <v>86.19</v>
      </c>
      <c r="G106" s="12"/>
      <c r="H106" s="51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14"/>
      <c r="U106" s="16"/>
    </row>
    <row r="107" spans="1:21" ht="30" x14ac:dyDescent="0.2">
      <c r="A107" s="125" t="s">
        <v>338</v>
      </c>
      <c r="B107" s="66" t="s">
        <v>337</v>
      </c>
      <c r="C107" s="67">
        <v>33.67</v>
      </c>
      <c r="D107" s="67">
        <v>52.78</v>
      </c>
      <c r="E107" s="67"/>
      <c r="F107" s="67">
        <f t="shared" si="3"/>
        <v>86.45</v>
      </c>
      <c r="G107" s="66"/>
      <c r="H107" s="51" t="s">
        <v>339</v>
      </c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126"/>
    </row>
    <row r="108" spans="1:21" x14ac:dyDescent="0.2">
      <c r="A108" s="113" t="s">
        <v>208</v>
      </c>
      <c r="B108" s="12" t="s">
        <v>209</v>
      </c>
      <c r="C108" s="49">
        <f>3.45*8</f>
        <v>27.6</v>
      </c>
      <c r="D108" s="49">
        <f>+(8.7-3.45)*8</f>
        <v>41.999999999999993</v>
      </c>
      <c r="E108" s="49">
        <v>17.27</v>
      </c>
      <c r="F108" s="49">
        <f t="shared" si="3"/>
        <v>86.86999999999999</v>
      </c>
      <c r="G108" s="12"/>
      <c r="H108" s="51" t="s">
        <v>210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14"/>
    </row>
    <row r="109" spans="1:21" x14ac:dyDescent="0.2">
      <c r="A109" s="113" t="s">
        <v>371</v>
      </c>
      <c r="B109" s="10" t="s">
        <v>372</v>
      </c>
      <c r="C109" s="49">
        <f>28.98+9.43</f>
        <v>38.409999999999997</v>
      </c>
      <c r="D109" s="49">
        <f>37.44+11.26</f>
        <v>48.699999999999996</v>
      </c>
      <c r="E109" s="49"/>
      <c r="F109" s="49">
        <f t="shared" si="3"/>
        <v>87.109999999999985</v>
      </c>
      <c r="G109" s="12"/>
      <c r="H109" s="51" t="s">
        <v>373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14"/>
    </row>
    <row r="110" spans="1:21" x14ac:dyDescent="0.2">
      <c r="A110" s="124" t="s">
        <v>286</v>
      </c>
      <c r="B110" s="12" t="s">
        <v>287</v>
      </c>
      <c r="C110" s="49">
        <v>28.27</v>
      </c>
      <c r="D110" s="49">
        <v>59.68</v>
      </c>
      <c r="E110" s="49"/>
      <c r="F110" s="49">
        <f t="shared" si="3"/>
        <v>87.95</v>
      </c>
      <c r="G110" s="12"/>
      <c r="H110" s="51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14"/>
    </row>
    <row r="111" spans="1:21" x14ac:dyDescent="0.2">
      <c r="A111" s="113" t="s">
        <v>167</v>
      </c>
      <c r="B111" s="12" t="s">
        <v>168</v>
      </c>
      <c r="C111" s="49">
        <v>57</v>
      </c>
      <c r="D111" s="49">
        <v>31.2</v>
      </c>
      <c r="E111" s="49"/>
      <c r="F111" s="49">
        <f t="shared" si="3"/>
        <v>88.2</v>
      </c>
      <c r="G111" s="12"/>
      <c r="H111" s="51" t="s">
        <v>169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14"/>
    </row>
    <row r="112" spans="1:21" x14ac:dyDescent="0.2">
      <c r="A112" s="113" t="s">
        <v>69</v>
      </c>
      <c r="B112" s="12" t="s">
        <v>70</v>
      </c>
      <c r="C112" s="49">
        <v>36.479999999999997</v>
      </c>
      <c r="D112" s="49">
        <v>52.84</v>
      </c>
      <c r="E112" s="49"/>
      <c r="F112" s="49">
        <f t="shared" si="3"/>
        <v>89.32</v>
      </c>
      <c r="G112" s="12"/>
      <c r="H112" s="51" t="s">
        <v>71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14"/>
    </row>
    <row r="113" spans="1:21" x14ac:dyDescent="0.2">
      <c r="A113" s="124" t="s">
        <v>152</v>
      </c>
      <c r="B113" s="12" t="s">
        <v>8</v>
      </c>
      <c r="C113" s="73" t="s">
        <v>111</v>
      </c>
      <c r="D113" s="73" t="s">
        <v>111</v>
      </c>
      <c r="E113" s="49"/>
      <c r="F113" s="49">
        <v>90.16</v>
      </c>
      <c r="G113" s="12"/>
      <c r="H113" s="51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14"/>
    </row>
    <row r="114" spans="1:21" x14ac:dyDescent="0.2">
      <c r="A114" s="124" t="s">
        <v>153</v>
      </c>
      <c r="B114" s="12" t="s">
        <v>4</v>
      </c>
      <c r="C114" s="49">
        <v>32.4</v>
      </c>
      <c r="D114" s="49">
        <v>17.28</v>
      </c>
      <c r="E114" s="49">
        <v>40.53</v>
      </c>
      <c r="F114" s="49">
        <f t="shared" ref="F114:F140" si="4">+D114+C114+E114</f>
        <v>90.210000000000008</v>
      </c>
      <c r="G114" s="12"/>
      <c r="H114" s="51" t="s">
        <v>6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14"/>
    </row>
    <row r="115" spans="1:21" ht="30" x14ac:dyDescent="0.2">
      <c r="A115" s="125" t="s">
        <v>198</v>
      </c>
      <c r="B115" s="66" t="s">
        <v>199</v>
      </c>
      <c r="C115" s="67">
        <f>(4.42*6)+17</f>
        <v>43.519999999999996</v>
      </c>
      <c r="D115" s="67">
        <f>+(4.07*6)+ 25</f>
        <v>49.42</v>
      </c>
      <c r="E115" s="67"/>
      <c r="F115" s="67">
        <f t="shared" si="4"/>
        <v>92.94</v>
      </c>
      <c r="G115" s="66"/>
      <c r="H115" s="51" t="s">
        <v>200</v>
      </c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126"/>
    </row>
    <row r="116" spans="1:21" x14ac:dyDescent="0.2">
      <c r="A116" s="113" t="s">
        <v>382</v>
      </c>
      <c r="B116" s="66" t="s">
        <v>383</v>
      </c>
      <c r="C116" s="67">
        <v>24.94</v>
      </c>
      <c r="D116" s="67">
        <v>68.290000000000006</v>
      </c>
      <c r="E116" s="67"/>
      <c r="F116" s="67">
        <f t="shared" si="4"/>
        <v>93.23</v>
      </c>
      <c r="G116" s="66"/>
      <c r="H116" s="51" t="s">
        <v>384</v>
      </c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126"/>
    </row>
    <row r="117" spans="1:21" x14ac:dyDescent="0.2">
      <c r="A117" s="113" t="s">
        <v>46</v>
      </c>
      <c r="B117" s="12" t="s">
        <v>47</v>
      </c>
      <c r="C117" s="49">
        <v>34.229999999999997</v>
      </c>
      <c r="D117" s="49">
        <v>60.04</v>
      </c>
      <c r="E117" s="49"/>
      <c r="F117" s="49">
        <f t="shared" si="4"/>
        <v>94.27</v>
      </c>
      <c r="G117" s="12"/>
      <c r="H117" s="51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14"/>
    </row>
    <row r="118" spans="1:21" s="21" customFormat="1" x14ac:dyDescent="0.2">
      <c r="A118" s="113" t="s">
        <v>33</v>
      </c>
      <c r="B118" s="12" t="s">
        <v>14</v>
      </c>
      <c r="C118" s="49">
        <v>33.380000000000003</v>
      </c>
      <c r="D118" s="49">
        <v>60.99</v>
      </c>
      <c r="E118" s="49"/>
      <c r="F118" s="49">
        <f t="shared" si="4"/>
        <v>94.37</v>
      </c>
      <c r="G118" s="12"/>
      <c r="H118" s="51" t="s">
        <v>15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14"/>
      <c r="U118" s="8"/>
    </row>
    <row r="119" spans="1:21" s="21" customFormat="1" x14ac:dyDescent="0.2">
      <c r="A119" s="113" t="s">
        <v>293</v>
      </c>
      <c r="B119" s="12" t="s">
        <v>294</v>
      </c>
      <c r="C119" s="49">
        <v>25.8</v>
      </c>
      <c r="D119" s="49">
        <v>55.65</v>
      </c>
      <c r="E119" s="49">
        <v>14.2</v>
      </c>
      <c r="F119" s="49">
        <f t="shared" si="4"/>
        <v>95.65</v>
      </c>
      <c r="G119" s="12"/>
      <c r="H119" s="51" t="s">
        <v>295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14"/>
      <c r="U119" s="8"/>
    </row>
    <row r="120" spans="1:21" x14ac:dyDescent="0.2">
      <c r="A120" s="113" t="s">
        <v>374</v>
      </c>
      <c r="B120" s="10" t="s">
        <v>375</v>
      </c>
      <c r="C120" s="49">
        <v>65.13</v>
      </c>
      <c r="D120" s="49">
        <v>30.56</v>
      </c>
      <c r="E120" s="49"/>
      <c r="F120" s="49">
        <f t="shared" si="4"/>
        <v>95.69</v>
      </c>
      <c r="G120" s="12"/>
      <c r="H120" s="51" t="s">
        <v>376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14"/>
    </row>
    <row r="121" spans="1:21" x14ac:dyDescent="0.2">
      <c r="A121" s="113" t="s">
        <v>248</v>
      </c>
      <c r="B121" s="12" t="s">
        <v>250</v>
      </c>
      <c r="C121" s="49">
        <f>50.48+9.15</f>
        <v>59.629999999999995</v>
      </c>
      <c r="D121" s="49">
        <f>28.56+9.91</f>
        <v>38.47</v>
      </c>
      <c r="E121" s="49"/>
      <c r="F121" s="49">
        <f t="shared" si="4"/>
        <v>98.1</v>
      </c>
      <c r="G121" s="12"/>
      <c r="H121" s="51" t="s">
        <v>251</v>
      </c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14"/>
    </row>
    <row r="122" spans="1:21" x14ac:dyDescent="0.2">
      <c r="A122" s="125" t="s">
        <v>402</v>
      </c>
      <c r="B122" s="71" t="s">
        <v>403</v>
      </c>
      <c r="C122" s="67">
        <f>6.07+(6*5.89)</f>
        <v>41.41</v>
      </c>
      <c r="D122" s="67">
        <f>6.81+(8.4*6)</f>
        <v>57.210000000000008</v>
      </c>
      <c r="E122" s="67"/>
      <c r="F122" s="67">
        <f t="shared" si="4"/>
        <v>98.62</v>
      </c>
      <c r="G122" s="66"/>
      <c r="H122" s="51" t="s">
        <v>404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14"/>
    </row>
    <row r="123" spans="1:21" x14ac:dyDescent="0.2">
      <c r="A123" s="113" t="s">
        <v>180</v>
      </c>
      <c r="B123" s="12" t="s">
        <v>181</v>
      </c>
      <c r="C123" s="49">
        <v>33.9</v>
      </c>
      <c r="D123" s="49">
        <v>66.599999999999994</v>
      </c>
      <c r="E123" s="49"/>
      <c r="F123" s="49">
        <f t="shared" si="4"/>
        <v>100.5</v>
      </c>
      <c r="G123" s="12"/>
      <c r="H123" s="51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14"/>
    </row>
    <row r="124" spans="1:21" ht="30" x14ac:dyDescent="0.2">
      <c r="A124" s="125" t="s">
        <v>100</v>
      </c>
      <c r="B124" s="66" t="s">
        <v>101</v>
      </c>
      <c r="C124" s="67">
        <f>34.1+(4.41*3)</f>
        <v>47.33</v>
      </c>
      <c r="D124" s="67">
        <f>31.59+(4.41*6)</f>
        <v>58.05</v>
      </c>
      <c r="E124" s="67"/>
      <c r="F124" s="67">
        <f t="shared" si="4"/>
        <v>105.38</v>
      </c>
      <c r="G124" s="66"/>
      <c r="H124" s="51" t="s">
        <v>102</v>
      </c>
      <c r="I124" s="74"/>
      <c r="J124" s="74"/>
      <c r="K124" s="74"/>
      <c r="L124" s="74"/>
      <c r="M124" s="74"/>
      <c r="N124" s="74"/>
      <c r="O124" s="74"/>
      <c r="P124" s="66"/>
      <c r="Q124" s="66"/>
      <c r="R124" s="66"/>
      <c r="S124" s="66"/>
      <c r="T124" s="126"/>
      <c r="U124" s="16"/>
    </row>
    <row r="125" spans="1:21" s="4" customFormat="1" x14ac:dyDescent="0.2">
      <c r="A125" s="113" t="s">
        <v>196</v>
      </c>
      <c r="B125" s="12" t="s">
        <v>197</v>
      </c>
      <c r="C125" s="49">
        <f>26.88+21.48</f>
        <v>48.36</v>
      </c>
      <c r="D125" s="49">
        <f>22.07+36.48</f>
        <v>58.55</v>
      </c>
      <c r="E125" s="49"/>
      <c r="F125" s="49">
        <f t="shared" si="4"/>
        <v>106.91</v>
      </c>
      <c r="G125" s="12"/>
      <c r="H125" s="51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14"/>
      <c r="U125" s="8"/>
    </row>
    <row r="126" spans="1:21" x14ac:dyDescent="0.2">
      <c r="A126" s="115" t="s">
        <v>94</v>
      </c>
      <c r="B126" s="10" t="s">
        <v>266</v>
      </c>
      <c r="C126" s="11">
        <f>6.44*6+6.76</f>
        <v>45.4</v>
      </c>
      <c r="D126" s="11">
        <f>6*7.44+17.1</f>
        <v>61.74</v>
      </c>
      <c r="E126" s="11"/>
      <c r="F126" s="11">
        <f t="shared" si="4"/>
        <v>107.14</v>
      </c>
      <c r="G126" s="10"/>
      <c r="H126" s="63" t="s">
        <v>95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16"/>
    </row>
    <row r="127" spans="1:21" x14ac:dyDescent="0.2">
      <c r="A127" s="113" t="s">
        <v>274</v>
      </c>
      <c r="B127" s="12" t="s">
        <v>275</v>
      </c>
      <c r="C127" s="49">
        <f>(3.34*8)+26.13</f>
        <v>52.849999999999994</v>
      </c>
      <c r="D127" s="49">
        <f>(4.38*8)+20.01</f>
        <v>55.05</v>
      </c>
      <c r="E127" s="49"/>
      <c r="F127" s="49">
        <f t="shared" si="4"/>
        <v>107.89999999999999</v>
      </c>
      <c r="G127" s="12"/>
      <c r="H127" s="51" t="s">
        <v>276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14"/>
    </row>
    <row r="128" spans="1:21" x14ac:dyDescent="0.2">
      <c r="A128" s="115" t="s">
        <v>40</v>
      </c>
      <c r="B128" s="10" t="s">
        <v>22</v>
      </c>
      <c r="C128" s="11">
        <v>43.58</v>
      </c>
      <c r="D128" s="11">
        <v>64.400000000000006</v>
      </c>
      <c r="E128" s="11"/>
      <c r="F128" s="11">
        <f t="shared" si="4"/>
        <v>107.98</v>
      </c>
      <c r="G128" s="10"/>
      <c r="H128" s="63" t="s">
        <v>23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16"/>
    </row>
    <row r="129" spans="1:21" ht="30" x14ac:dyDescent="0.2">
      <c r="A129" s="135" t="s">
        <v>54</v>
      </c>
      <c r="B129" s="71" t="s">
        <v>55</v>
      </c>
      <c r="C129" s="72">
        <v>36.96</v>
      </c>
      <c r="D129" s="72">
        <v>48</v>
      </c>
      <c r="E129" s="72">
        <v>23.33</v>
      </c>
      <c r="F129" s="72">
        <f t="shared" si="4"/>
        <v>108.29</v>
      </c>
      <c r="G129" s="71"/>
      <c r="H129" s="63" t="s">
        <v>56</v>
      </c>
      <c r="I129" s="75"/>
      <c r="J129" s="75"/>
      <c r="K129" s="75"/>
      <c r="L129" s="75"/>
      <c r="M129" s="75"/>
      <c r="N129" s="75"/>
      <c r="O129" s="75"/>
      <c r="P129" s="71"/>
      <c r="Q129" s="71"/>
      <c r="R129" s="71"/>
      <c r="S129" s="71"/>
      <c r="T129" s="136"/>
    </row>
    <row r="130" spans="1:21" x14ac:dyDescent="0.2">
      <c r="A130" s="115" t="s">
        <v>103</v>
      </c>
      <c r="B130" s="10" t="s">
        <v>104</v>
      </c>
      <c r="C130" s="11">
        <v>50.72</v>
      </c>
      <c r="D130" s="11">
        <v>59.58</v>
      </c>
      <c r="E130" s="11"/>
      <c r="F130" s="11">
        <f t="shared" si="4"/>
        <v>110.3</v>
      </c>
      <c r="G130" s="10"/>
      <c r="H130" s="63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16"/>
    </row>
    <row r="131" spans="1:21" x14ac:dyDescent="0.2">
      <c r="A131" s="113" t="s">
        <v>255</v>
      </c>
      <c r="B131" s="12" t="s">
        <v>256</v>
      </c>
      <c r="C131" s="49">
        <v>59.02</v>
      </c>
      <c r="D131" s="49">
        <v>52.69</v>
      </c>
      <c r="E131" s="49"/>
      <c r="F131" s="49">
        <f t="shared" si="4"/>
        <v>111.71000000000001</v>
      </c>
      <c r="G131" s="12"/>
      <c r="H131" s="51" t="s">
        <v>391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14"/>
    </row>
    <row r="132" spans="1:21" x14ac:dyDescent="0.2">
      <c r="A132" s="115" t="s">
        <v>94</v>
      </c>
      <c r="B132" s="10" t="s">
        <v>267</v>
      </c>
      <c r="C132" s="11">
        <f>7.79+38.64</f>
        <v>46.43</v>
      </c>
      <c r="D132" s="11">
        <f>20.83+44.64</f>
        <v>65.47</v>
      </c>
      <c r="E132" s="11"/>
      <c r="F132" s="11">
        <f t="shared" si="4"/>
        <v>111.9</v>
      </c>
      <c r="G132" s="10"/>
      <c r="H132" s="63" t="s">
        <v>96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16"/>
    </row>
    <row r="133" spans="1:21" x14ac:dyDescent="0.2">
      <c r="A133" s="113" t="s">
        <v>177</v>
      </c>
      <c r="B133" s="12" t="s">
        <v>178</v>
      </c>
      <c r="C133" s="49">
        <f>1.5+26.96</f>
        <v>28.46</v>
      </c>
      <c r="D133" s="49">
        <f>8.56+75.84</f>
        <v>84.4</v>
      </c>
      <c r="E133" s="49"/>
      <c r="F133" s="49">
        <f t="shared" si="4"/>
        <v>112.86000000000001</v>
      </c>
      <c r="G133" s="12"/>
      <c r="H133" s="51" t="s">
        <v>179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14"/>
    </row>
    <row r="134" spans="1:21" x14ac:dyDescent="0.2">
      <c r="A134" s="113" t="s">
        <v>389</v>
      </c>
      <c r="B134" s="10" t="s">
        <v>388</v>
      </c>
      <c r="C134" s="49">
        <f>6.6*6+34.25</f>
        <v>73.849999999999994</v>
      </c>
      <c r="D134" s="49">
        <f>3*6+23.75</f>
        <v>41.75</v>
      </c>
      <c r="E134" s="49"/>
      <c r="F134" s="49">
        <f t="shared" si="4"/>
        <v>115.6</v>
      </c>
      <c r="G134" s="12"/>
      <c r="H134" s="51" t="s">
        <v>390</v>
      </c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14"/>
    </row>
    <row r="135" spans="1:21" ht="31.5" x14ac:dyDescent="0.2">
      <c r="A135" s="125" t="s">
        <v>44</v>
      </c>
      <c r="B135" s="66" t="s">
        <v>45</v>
      </c>
      <c r="C135" s="67">
        <v>50</v>
      </c>
      <c r="D135" s="67">
        <v>68</v>
      </c>
      <c r="E135" s="67"/>
      <c r="F135" s="67">
        <f t="shared" si="4"/>
        <v>118</v>
      </c>
      <c r="G135" s="66"/>
      <c r="H135" s="70" t="s">
        <v>61</v>
      </c>
      <c r="I135" s="76"/>
      <c r="J135" s="76"/>
      <c r="K135" s="76"/>
      <c r="L135" s="76"/>
      <c r="M135" s="76"/>
      <c r="N135" s="76"/>
      <c r="O135" s="76"/>
      <c r="P135" s="66"/>
      <c r="Q135" s="66"/>
      <c r="R135" s="66"/>
      <c r="S135" s="66"/>
      <c r="T135" s="126"/>
    </row>
    <row r="136" spans="1:21" x14ac:dyDescent="0.2">
      <c r="A136" s="113" t="s">
        <v>105</v>
      </c>
      <c r="B136" s="12" t="s">
        <v>106</v>
      </c>
      <c r="C136" s="49">
        <v>29.7</v>
      </c>
      <c r="D136" s="49">
        <v>94.76</v>
      </c>
      <c r="E136" s="49"/>
      <c r="F136" s="49">
        <f t="shared" si="4"/>
        <v>124.46000000000001</v>
      </c>
      <c r="G136" s="12"/>
      <c r="H136" s="51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14"/>
    </row>
    <row r="137" spans="1:21" s="7" customFormat="1" x14ac:dyDescent="0.2">
      <c r="A137" s="113" t="s">
        <v>211</v>
      </c>
      <c r="B137" s="12" t="s">
        <v>28</v>
      </c>
      <c r="C137" s="49">
        <v>54.72</v>
      </c>
      <c r="D137" s="49">
        <v>76.17</v>
      </c>
      <c r="E137" s="49"/>
      <c r="F137" s="49">
        <f t="shared" si="4"/>
        <v>130.88999999999999</v>
      </c>
      <c r="G137" s="12"/>
      <c r="H137" s="51" t="s">
        <v>29</v>
      </c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14"/>
      <c r="U137" s="8"/>
    </row>
    <row r="138" spans="1:21" s="9" customFormat="1" x14ac:dyDescent="0.2">
      <c r="A138" s="113" t="s">
        <v>334</v>
      </c>
      <c r="B138" s="10" t="s">
        <v>335</v>
      </c>
      <c r="C138" s="11">
        <f>60+22</f>
        <v>82</v>
      </c>
      <c r="D138" s="11">
        <f>30+21</f>
        <v>51</v>
      </c>
      <c r="E138" s="11"/>
      <c r="F138" s="49">
        <f t="shared" si="4"/>
        <v>133</v>
      </c>
      <c r="G138" s="10"/>
      <c r="H138" s="63" t="s">
        <v>336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16"/>
      <c r="U138" s="8"/>
    </row>
    <row r="139" spans="1:21" x14ac:dyDescent="0.2">
      <c r="A139" s="113" t="s">
        <v>323</v>
      </c>
      <c r="B139" s="12" t="s">
        <v>324</v>
      </c>
      <c r="C139" s="49">
        <v>68.16</v>
      </c>
      <c r="D139" s="49">
        <v>69.48</v>
      </c>
      <c r="E139" s="49"/>
      <c r="F139" s="49">
        <f t="shared" si="4"/>
        <v>137.63999999999999</v>
      </c>
      <c r="G139" s="12"/>
      <c r="H139" s="51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14"/>
    </row>
    <row r="140" spans="1:21" x14ac:dyDescent="0.2">
      <c r="A140" s="113" t="s">
        <v>340</v>
      </c>
      <c r="B140" s="12" t="s">
        <v>341</v>
      </c>
      <c r="C140" s="49">
        <v>74.44</v>
      </c>
      <c r="D140" s="49">
        <v>79.150000000000006</v>
      </c>
      <c r="E140" s="49"/>
      <c r="F140" s="49">
        <f t="shared" si="4"/>
        <v>153.59</v>
      </c>
      <c r="G140" s="12"/>
      <c r="H140" s="51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14"/>
    </row>
    <row r="141" spans="1:21" x14ac:dyDescent="0.2">
      <c r="A141" s="140"/>
      <c r="B141" s="141"/>
      <c r="C141" s="142"/>
      <c r="D141" s="142"/>
      <c r="E141" s="142"/>
      <c r="F141" s="142"/>
      <c r="G141" s="141"/>
      <c r="H141" s="143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4"/>
      <c r="U141" s="17" t="s">
        <v>318</v>
      </c>
    </row>
    <row r="142" spans="1:21" x14ac:dyDescent="0.2">
      <c r="A142" s="137"/>
      <c r="B142" s="17"/>
      <c r="C142" s="138"/>
      <c r="D142" s="138"/>
      <c r="E142" s="138"/>
      <c r="F142" s="138"/>
      <c r="G142" s="17"/>
      <c r="H142" s="139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1:21" x14ac:dyDescent="0.2">
      <c r="A143" s="17"/>
      <c r="B143" s="17"/>
      <c r="C143" s="138"/>
      <c r="D143" s="138"/>
      <c r="E143" s="138"/>
      <c r="F143" s="138">
        <f t="shared" ref="F143:F145" si="5">+D143+C143+E143</f>
        <v>0</v>
      </c>
      <c r="G143" s="17"/>
      <c r="H143" s="139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1" s="13" customFormat="1" x14ac:dyDescent="0.2">
      <c r="B144" s="13" t="s">
        <v>285</v>
      </c>
      <c r="C144" s="14"/>
      <c r="D144" s="14"/>
      <c r="E144" s="14"/>
      <c r="F144" s="14">
        <f t="shared" si="5"/>
        <v>0</v>
      </c>
      <c r="H144" s="20"/>
    </row>
    <row r="145" spans="1:21" x14ac:dyDescent="0.2">
      <c r="A145" s="2" t="s">
        <v>43</v>
      </c>
      <c r="B145" t="s">
        <v>27</v>
      </c>
      <c r="C145" s="1">
        <v>24.9</v>
      </c>
      <c r="D145" s="1">
        <v>39.799999999999997</v>
      </c>
      <c r="F145" s="1">
        <f t="shared" si="5"/>
        <v>64.699999999999989</v>
      </c>
      <c r="H145" s="18" t="s">
        <v>370</v>
      </c>
    </row>
    <row r="146" spans="1:21" s="9" customFormat="1" x14ac:dyDescent="0.2">
      <c r="A146" s="68" t="s">
        <v>296</v>
      </c>
      <c r="B146" s="10" t="s">
        <v>297</v>
      </c>
      <c r="C146" s="11"/>
      <c r="D146" s="11"/>
      <c r="E146" s="11"/>
      <c r="F146" s="11">
        <f>+D146+C146+E146</f>
        <v>0</v>
      </c>
      <c r="G146" s="10"/>
      <c r="H146" s="63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64"/>
      <c r="U146" s="8"/>
    </row>
    <row r="147" spans="1:21" s="85" customFormat="1" ht="30" x14ac:dyDescent="0.2">
      <c r="A147" s="84" t="s">
        <v>283</v>
      </c>
      <c r="B147" s="85" t="s">
        <v>284</v>
      </c>
      <c r="C147" s="86">
        <v>26.83</v>
      </c>
      <c r="D147" s="86">
        <v>24.82</v>
      </c>
      <c r="E147" s="86"/>
      <c r="F147" s="86">
        <f>+D147+C147+E147</f>
        <v>51.65</v>
      </c>
      <c r="H147" s="19" t="s">
        <v>369</v>
      </c>
      <c r="U147" s="8"/>
    </row>
    <row r="148" spans="1:21" s="12" customFormat="1" ht="15.75" x14ac:dyDescent="0.2">
      <c r="A148" s="25" t="s">
        <v>137</v>
      </c>
      <c r="B148" s="26" t="s">
        <v>138</v>
      </c>
      <c r="C148" s="27">
        <f>10.05+11.81+1.31</f>
        <v>23.169999999999998</v>
      </c>
      <c r="D148" s="27">
        <f>15.6+1.91+14.11</f>
        <v>31.619999999999997</v>
      </c>
      <c r="E148" s="27"/>
      <c r="F148" s="27">
        <f t="shared" ref="F148" si="6">+D148+C148+E148</f>
        <v>54.789999999999992</v>
      </c>
      <c r="G148" s="26"/>
      <c r="H148" s="28" t="s">
        <v>139</v>
      </c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9"/>
      <c r="U148" s="17"/>
    </row>
    <row r="149" spans="1:21" s="12" customFormat="1" ht="15.75" x14ac:dyDescent="0.2">
      <c r="A149" s="30"/>
      <c r="B149" s="31"/>
      <c r="C149" s="32"/>
      <c r="D149" s="32"/>
      <c r="E149" s="32"/>
      <c r="F149" s="32"/>
      <c r="G149" s="31"/>
      <c r="H149" s="33" t="s">
        <v>140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4"/>
      <c r="U149" s="17"/>
    </row>
    <row r="150" spans="1:21" s="12" customFormat="1" ht="15.75" x14ac:dyDescent="0.2">
      <c r="A150" s="30" t="s">
        <v>460</v>
      </c>
      <c r="B150" s="31"/>
      <c r="C150" s="32"/>
      <c r="D150" s="32"/>
      <c r="E150" s="32"/>
      <c r="F150" s="32"/>
      <c r="G150" s="31"/>
      <c r="H150" s="33" t="s">
        <v>141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4"/>
      <c r="U150" s="17"/>
    </row>
    <row r="151" spans="1:21" s="12" customFormat="1" ht="15.75" x14ac:dyDescent="0.2">
      <c r="A151" s="30"/>
      <c r="B151" s="31"/>
      <c r="C151" s="32"/>
      <c r="D151" s="32"/>
      <c r="E151" s="32"/>
      <c r="F151" s="32"/>
      <c r="G151" s="31"/>
      <c r="H151" s="33" t="s">
        <v>142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4"/>
      <c r="U151" s="17"/>
    </row>
    <row r="152" spans="1:21" s="12" customFormat="1" ht="15.75" x14ac:dyDescent="0.2">
      <c r="A152" s="30"/>
      <c r="B152" s="31"/>
      <c r="C152" s="32"/>
      <c r="D152" s="32"/>
      <c r="E152" s="32"/>
      <c r="F152" s="32"/>
      <c r="G152" s="31"/>
      <c r="H152" s="33" t="s">
        <v>143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4"/>
      <c r="U152" s="17"/>
    </row>
    <row r="153" spans="1:21" s="12" customFormat="1" x14ac:dyDescent="0.2">
      <c r="A153" s="30"/>
      <c r="B153" s="31"/>
      <c r="C153" s="32"/>
      <c r="D153" s="32"/>
      <c r="E153" s="32"/>
      <c r="F153" s="32"/>
      <c r="G153" s="31"/>
      <c r="H153" s="35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4"/>
      <c r="U153" s="17"/>
    </row>
    <row r="154" spans="1:21" s="12" customFormat="1" ht="15.75" x14ac:dyDescent="0.2">
      <c r="A154" s="30"/>
      <c r="B154" s="31"/>
      <c r="C154" s="32"/>
      <c r="D154" s="32"/>
      <c r="E154" s="32"/>
      <c r="F154" s="32"/>
      <c r="G154" s="31"/>
      <c r="H154" s="33" t="s">
        <v>144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4"/>
      <c r="U154" s="17"/>
    </row>
    <row r="155" spans="1:21" s="12" customFormat="1" ht="15.75" x14ac:dyDescent="0.2">
      <c r="A155" s="30"/>
      <c r="B155" s="31"/>
      <c r="C155" s="32"/>
      <c r="D155" s="32"/>
      <c r="E155" s="32"/>
      <c r="F155" s="32"/>
      <c r="G155" s="31"/>
      <c r="H155" s="33" t="s">
        <v>145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4"/>
      <c r="U155" s="17"/>
    </row>
    <row r="156" spans="1:21" s="12" customFormat="1" ht="15.75" x14ac:dyDescent="0.2">
      <c r="A156" s="30"/>
      <c r="B156" s="31"/>
      <c r="C156" s="32"/>
      <c r="D156" s="32"/>
      <c r="E156" s="32"/>
      <c r="F156" s="32"/>
      <c r="G156" s="31"/>
      <c r="H156" s="33" t="s">
        <v>146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4"/>
      <c r="U156" s="17"/>
    </row>
    <row r="157" spans="1:21" s="12" customFormat="1" ht="15.75" x14ac:dyDescent="0.2">
      <c r="A157" s="30"/>
      <c r="B157" s="31"/>
      <c r="C157" s="32"/>
      <c r="D157" s="32"/>
      <c r="E157" s="32"/>
      <c r="F157" s="32"/>
      <c r="G157" s="31"/>
      <c r="H157" s="33" t="s">
        <v>147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4"/>
      <c r="U157" s="17"/>
    </row>
    <row r="158" spans="1:21" s="12" customFormat="1" ht="15.75" x14ac:dyDescent="0.2">
      <c r="A158" s="30"/>
      <c r="B158" s="31"/>
      <c r="C158" s="32"/>
      <c r="D158" s="32"/>
      <c r="E158" s="32"/>
      <c r="F158" s="32"/>
      <c r="G158" s="31"/>
      <c r="H158" s="33" t="s">
        <v>148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4"/>
      <c r="U158" s="17"/>
    </row>
    <row r="159" spans="1:21" ht="15.75" x14ac:dyDescent="0.2">
      <c r="A159" s="30"/>
      <c r="B159" s="31"/>
      <c r="C159" s="32"/>
      <c r="D159" s="32"/>
      <c r="E159" s="32"/>
      <c r="F159" s="32"/>
      <c r="G159" s="31"/>
      <c r="H159" s="33">
        <v>1.91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4"/>
    </row>
    <row r="160" spans="1:21" x14ac:dyDescent="0.2">
      <c r="A160" s="36"/>
      <c r="B160" s="37"/>
      <c r="C160" s="38"/>
      <c r="D160" s="38"/>
      <c r="E160" s="38"/>
      <c r="F160" s="38"/>
      <c r="G160" s="37"/>
      <c r="H160" s="39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40"/>
    </row>
    <row r="162" spans="3:3" x14ac:dyDescent="0.2">
      <c r="C162" s="1">
        <f>57.49/3</f>
        <v>19.163333333333334</v>
      </c>
    </row>
  </sheetData>
  <sortState ref="A7:T141">
    <sortCondition ref="F7:F141"/>
  </sortState>
  <mergeCells count="3">
    <mergeCell ref="B1:I1"/>
    <mergeCell ref="B2:I2"/>
    <mergeCell ref="B3:I3"/>
  </mergeCells>
  <hyperlinks>
    <hyperlink ref="A66" r:id="rId1" display="mailto:eric.zuzga@quincy-mi.org" xr:uid="{00000000-0004-0000-0000-000000000000}"/>
    <hyperlink ref="A104" r:id="rId2" display="mailto:dolson@crystalfalls.org" xr:uid="{00000000-0004-0000-0000-000001000000}"/>
    <hyperlink ref="A118" r:id="rId3" display="mailto:jwickman@hartlandtwp.com" xr:uid="{00000000-0004-0000-0000-000002000000}"/>
    <hyperlink ref="A18" r:id="rId4" display="mailto:dswallow@tecumseh.mi.us" xr:uid="{00000000-0004-0000-0000-000003000000}"/>
    <hyperlink ref="A67" r:id="rId5" display="mailto:SHorn@adrianmi.gov" xr:uid="{00000000-0004-0000-0000-000004000000}"/>
    <hyperlink ref="A19" r:id="rId6" display="mailto:GGallagher@springlaketwp.org" xr:uid="{00000000-0004-0000-0000-000005000000}"/>
    <hyperlink ref="A22" r:id="rId7" display="mailto:pmcginnis@grandhaven.org" xr:uid="{00000000-0004-0000-0000-000006000000}"/>
    <hyperlink ref="A72" r:id="rId8" display="mailto:mcclaryd@lakeorion.org" xr:uid="{00000000-0004-0000-0000-000007000000}"/>
    <hyperlink ref="A25" r:id="rId9" display="mailto:srickard@ci.hart.mi.us" xr:uid="{00000000-0004-0000-0000-000008000000}"/>
    <hyperlink ref="A128" r:id="rId10" display="mailto:cmathis@visitunioncity.com" xr:uid="{00000000-0004-0000-0000-000009000000}"/>
    <hyperlink ref="A106" r:id="rId11" display="mailto:citymanager@cityofgrandblanc.com" xr:uid="{00000000-0004-0000-0000-00000A000000}"/>
    <hyperlink ref="A9" r:id="rId12" display="mailto:dcoss@dewittmi.org" xr:uid="{00000000-0004-0000-0000-00000B000000}"/>
    <hyperlink ref="A145" r:id="rId13" display="mailto:krombeenk@cityofgrandville.com" xr:uid="{00000000-0004-0000-0000-00000C000000}"/>
    <hyperlink ref="A137" r:id="rId14" display="mailto:CityManager@cityofmunising.org" xr:uid="{00000000-0004-0000-0000-00000D000000}"/>
    <hyperlink ref="A135" r:id="rId15" display="mailto:citymanager@norwaymi.gov" xr:uid="{00000000-0004-0000-0000-00000E000000}"/>
    <hyperlink ref="A117" r:id="rId16" display="mailto:citymanager@cityofscottville.org" xr:uid="{00000000-0004-0000-0000-00000F000000}"/>
    <hyperlink ref="A48" r:id="rId17" display="mailto:jbudd@coldwater.org" xr:uid="{00000000-0004-0000-0000-000010000000}"/>
    <hyperlink ref="A78" r:id="rId18" display="gregs@alpena.mi.us" xr:uid="{00000000-0004-0000-0000-000011000000}"/>
    <hyperlink ref="A13" r:id="rId19" display="mailto:GBosanic@greenvillemi.org" xr:uid="{00000000-0004-0000-0000-000012000000}"/>
    <hyperlink ref="A112" r:id="rId20" display="mailto:cgraham@frankenmuthcity.com" xr:uid="{00000000-0004-0000-0000-000013000000}"/>
    <hyperlink ref="A71" r:id="rId21" display="mailto:ttaylor@manisteemi.gov" xr:uid="{00000000-0004-0000-0000-000014000000}"/>
    <hyperlink ref="A76" r:id="rId22" display="mailto:ahorning@tawascity.org" xr:uid="{00000000-0004-0000-0000-000015000000}"/>
    <hyperlink ref="A91" r:id="rId23" display="mailto:TTarkiewicz@cityofmarshall.com" xr:uid="{00000000-0004-0000-0000-000016000000}"/>
    <hyperlink ref="A95" r:id="rId24" display="mailto:jhefele@rogerscity.com" xr:uid="{00000000-0004-0000-0000-000017000000}"/>
    <hyperlink ref="A98" r:id="rId25" display="mailto:jhefele@rogerscity.com" xr:uid="{00000000-0004-0000-0000-000018000000}"/>
    <hyperlink ref="A29" r:id="rId26" display="mailto:reedcm@reedcityhall.org" xr:uid="{00000000-0004-0000-0000-000019000000}"/>
    <hyperlink ref="A17" r:id="rId27" display="mailto:huebler@cityofwhitehall.org" xr:uid="{00000000-0004-0000-0000-00001A000000}"/>
    <hyperlink ref="A126" r:id="rId28" display="mailto:jhanifan@city-chelsea.org" xr:uid="{00000000-0004-0000-0000-00001B000000}"/>
    <hyperlink ref="A132" r:id="rId29" display="mailto:jhanifan@city-chelsea.org" xr:uid="{00000000-0004-0000-0000-00001C000000}"/>
    <hyperlink ref="A50" r:id="rId30" display="mailto:BCargo@ght.org" xr:uid="{00000000-0004-0000-0000-00001D000000}"/>
    <hyperlink ref="A124" r:id="rId31" display="mailto:johnmstanley@hotmail.com" xr:uid="{00000000-0004-0000-0000-00001E000000}"/>
    <hyperlink ref="A73" r:id="rId32" display="mailto:zackary.szakacs@evart.org" xr:uid="{00000000-0004-0000-0000-00001F000000}"/>
    <hyperlink ref="A23" r:id="rId33" display="mailto:manager@lakeodessa.org" xr:uid="{00000000-0004-0000-0000-000020000000}"/>
    <hyperlink ref="A148" r:id="rId34" display="mailto:tblake@cityoffremont.net" xr:uid="{00000000-0004-0000-0000-000021000000}"/>
    <hyperlink ref="A100" r:id="rId35" display="mailto:emarshall@villagebeverlyhills.com" xr:uid="{00000000-0004-0000-0000-000022000000}"/>
    <hyperlink ref="A49" r:id="rId36" display="mailto:citymanager@cityofironmountain.com" xr:uid="{00000000-0004-0000-0000-000023000000}"/>
    <hyperlink ref="A85" r:id="rId37" display="mailto:rtaylor@dewitttwp.org" xr:uid="{00000000-0004-0000-0000-000024000000}"/>
    <hyperlink ref="A102" r:id="rId38" display="mailto:citymanager@corunna-mi.gov" xr:uid="{00000000-0004-0000-0000-000025000000}"/>
    <hyperlink ref="A133" r:id="rId39" display="mailto:richh@micityoffraser.com" xr:uid="{00000000-0004-0000-0000-000026000000}"/>
    <hyperlink ref="A123" r:id="rId40" display="mailto:SErbisch@mqtco.org" xr:uid="{00000000-0004-0000-0000-000027000000}"/>
    <hyperlink ref="A68" r:id="rId41" display="mailto:mazadeb@gmail.com" xr:uid="{00000000-0004-0000-0000-000028000000}"/>
    <hyperlink ref="A80" r:id="rId42" display="mailto:villageofshelby@gmail.com" xr:uid="{00000000-0004-0000-0000-000029000000}"/>
    <hyperlink ref="A52" r:id="rId43" display="mailto:mcain@boynecity.com" xr:uid="{00000000-0004-0000-0000-00002A000000}"/>
    <hyperlink ref="A93" r:id="rId44" display="mailto:jolsonmanager@gmail.com" xr:uid="{00000000-0004-0000-0000-00002B000000}"/>
    <hyperlink ref="A16" r:id="rId45" display="mailto:JShay@ci.ludington.mi.us" xr:uid="{00000000-0004-0000-0000-00002C000000}"/>
    <hyperlink ref="A96" r:id="rId46" display="mailto:KKidder@cofrankfort.net" xr:uid="{00000000-0004-0000-0000-00002D000000}"/>
    <hyperlink ref="A56" r:id="rId47" display="mailto:kmushong@eastgr.org" xr:uid="{00000000-0004-0000-0000-00002E000000}"/>
    <hyperlink ref="A108" r:id="rId48" display="mailto:lcavanagh@redfordtwp.com" xr:uid="{00000000-0004-0000-0000-00002F000000}"/>
    <hyperlink ref="A36" r:id="rId49" display="mailto:kvtreasurer@villageofkingsley.com" xr:uid="{00000000-0004-0000-0000-000030000000}"/>
    <hyperlink ref="A15" r:id="rId50" display="mailto:jstover@nilestwpmi.gov" xr:uid="{00000000-0004-0000-0000-000031000000}"/>
    <hyperlink ref="A74" r:id="rId51" display="mailto:bmarr@stlouismi.com" xr:uid="{00000000-0004-0000-0000-000032000000}"/>
    <hyperlink ref="A12" r:id="rId52" display="mailto:JThelen@watertowntownship.com" xr:uid="{00000000-0004-0000-0000-000033000000}"/>
    <hyperlink ref="A60" r:id="rId53" display="mailto:emoody@springfieldmich.com" xr:uid="{00000000-0004-0000-0000-000034000000}"/>
    <hyperlink ref="A63" r:id="rId54" display="mailto:saranacoffice@gmail.com" xr:uid="{00000000-0004-0000-0000-000035000000}"/>
    <hyperlink ref="A61" r:id="rId55" display="mailto:pennyr@villageofmilford.org" xr:uid="{00000000-0004-0000-0000-000036000000}"/>
    <hyperlink ref="A87" r:id="rId56" display="mailto:financedirector@cityofcedarsprings.org" xr:uid="{00000000-0004-0000-0000-000037000000}"/>
    <hyperlink ref="A69" r:id="rId57" display="mailto:jpotts@easttawas.com" xr:uid="{00000000-0004-0000-0000-000038000000}"/>
    <hyperlink ref="A65" r:id="rId58" display="mailto:KSall@trenton-mi.com" xr:uid="{00000000-0004-0000-0000-000039000000}"/>
    <hyperlink ref="A121" r:id="rId59" display="mailto:vfishell@cityofmtmorris.org" xr:uid="{00000000-0004-0000-0000-00003A000000}"/>
    <hyperlink ref="A94" r:id="rId60" display="mailto:barrytongov@gmail.com" xr:uid="{00000000-0004-0000-0000-00003B000000}"/>
    <hyperlink ref="A131" r:id="rId61" display="mailto:jpray@cityofdavison.org" xr:uid="{00000000-0004-0000-0000-00003C000000}"/>
    <hyperlink ref="A101" r:id="rId62" display="mailto:wardl@porthuron.org" xr:uid="{00000000-0004-0000-0000-00003D000000}"/>
    <hyperlink ref="A34" r:id="rId63" display="mailto:tblake@cityoffremont.net" xr:uid="{00000000-0004-0000-0000-00003E000000}"/>
    <hyperlink ref="A21" r:id="rId64" display="mailto:tcannon@eastjordancity.org" xr:uid="{00000000-0004-0000-0000-00003F000000}"/>
    <hyperlink ref="A38" r:id="rId65" xr:uid="{00000000-0004-0000-0000-000040000000}"/>
    <hyperlink ref="A27" r:id="rId66" display="mailto:treasurer@chester-twp.org" xr:uid="{00000000-0004-0000-0000-000041000000}"/>
    <hyperlink ref="A20" r:id="rId67" display="mailto:smitchell@cityofalbionmi.gov" xr:uid="{00000000-0004-0000-0000-000042000000}"/>
    <hyperlink ref="A55" r:id="rId68" display="mailto:MCoppler@citylp.com" xr:uid="{00000000-0004-0000-0000-000043000000}"/>
    <hyperlink ref="A119" r:id="rId69" display="mailto:citymanager@cityofpleasantridge.org" xr:uid="{00000000-0004-0000-0000-000044000000}"/>
    <hyperlink ref="A75" r:id="rId70" display="mailto:jmoore@cityofrichmond.net" xr:uid="{00000000-0004-0000-0000-000045000000}"/>
    <hyperlink ref="A103" r:id="rId71" display="mailto:JGray@jonesville.org" xr:uid="{00000000-0004-0000-0000-000046000000}"/>
    <hyperlink ref="A70" r:id="rId72" display="mailto:sjanson@cityofnorthmuskegon.com" xr:uid="{00000000-0004-0000-0000-000047000000}"/>
    <hyperlink ref="A77" r:id="rId73" display="mailto:sjanson@cityofnorthmuskegon.com" xr:uid="{00000000-0004-0000-0000-000048000000}"/>
    <hyperlink ref="A81" r:id="rId74" display="mailto:jsuchy@spartami.org" xr:uid="{00000000-0004-0000-0000-000049000000}"/>
    <hyperlink ref="A43" r:id="rId75" display="mailto:Michael.sessions@cityofmorenci.org" xr:uid="{00000000-0004-0000-0000-00004A000000}"/>
    <hyperlink ref="A88" r:id="rId76" display="mailto:administrator@blissfieldmichigan.gov" xr:uid="{00000000-0004-0000-0000-00004B000000}"/>
    <hyperlink ref="A139" r:id="rId77" display="mailto:citymanager@ishpemingcity.org" xr:uid="{00000000-0004-0000-0000-00004C000000}"/>
    <hyperlink ref="A105" r:id="rId78" display="mailto:mpollock@cityofclawson.com" xr:uid="{00000000-0004-0000-0000-00004D000000}"/>
    <hyperlink ref="A83" r:id="rId79" xr:uid="{00000000-0004-0000-0000-00004E000000}"/>
    <hyperlink ref="A32" r:id="rId80" display="mailto:kdoyle@cityofzeeland.com" xr:uid="{00000000-0004-0000-0000-00004F000000}"/>
    <hyperlink ref="A138" r:id="rId81" display="mailto:ontmgr@jamadots.com" xr:uid="{00000000-0004-0000-0000-000050000000}"/>
    <hyperlink ref="A107" r:id="rId82" display="mailto:asmith@grand-ledge.com" xr:uid="{00000000-0004-0000-0000-000051000000}"/>
    <hyperlink ref="A140" r:id="rId83" display="mailto:jeffthornton@hotmail.com" xr:uid="{00000000-0004-0000-0000-000052000000}"/>
    <hyperlink ref="A46" r:id="rId84" display="mailto:b.mersman@bronson-mi.com" xr:uid="{00000000-0004-0000-0000-000053000000}"/>
    <hyperlink ref="A116" r:id="rId85" display="mailto:vllgclerk@elkrapids.org" xr:uid="{00000000-0004-0000-0000-000054000000}"/>
    <hyperlink ref="A58" r:id="rId86" display="mailto:prayl@auburnmi.org" xr:uid="{00000000-0004-0000-0000-000055000000}"/>
    <hyperlink ref="A134" r:id="rId87" display="mailto:treasurer@cityofmontrose.us" xr:uid="{00000000-0004-0000-0000-000056000000}"/>
    <hyperlink ref="A79" r:id="rId88" display="mailto:jlanglois@oaklandtownship.org" xr:uid="{00000000-0004-0000-0000-000057000000}"/>
    <hyperlink ref="A51" r:id="rId89" display="mailto:PJDame@grossepointecity.org" xr:uid="{00000000-0004-0000-0000-000058000000}"/>
    <hyperlink ref="A122" r:id="rId90" display="mailto:DFaber@misandusky.com" xr:uid="{00000000-0004-0000-0000-000059000000}"/>
    <hyperlink ref="A89" r:id="rId91" display="mailto:tcampbell@cityofsaline.org" xr:uid="{00000000-0004-0000-0000-00005A000000}"/>
    <hyperlink ref="A146" r:id="rId92" display="mailto:lladner@southlyonmi.org" xr:uid="{00000000-0004-0000-0000-00005B000000}"/>
  </hyperlinks>
  <pageMargins left="0.7" right="0.7" top="0.75" bottom="0.75" header="0.3" footer="0.3"/>
  <pageSetup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1:J201"/>
  <sheetViews>
    <sheetView zoomScaleNormal="100" workbookViewId="0">
      <selection activeCell="J71" sqref="J71"/>
    </sheetView>
  </sheetViews>
  <sheetFormatPr defaultRowHeight="15" x14ac:dyDescent="0.2"/>
  <cols>
    <col min="8" max="8" width="27.88671875" customWidth="1"/>
    <col min="10" max="10" width="13.77734375" customWidth="1"/>
  </cols>
  <sheetData>
    <row r="1" spans="10:10" x14ac:dyDescent="0.2">
      <c r="J1" s="8" t="s">
        <v>122</v>
      </c>
    </row>
    <row r="2" spans="10:10" x14ac:dyDescent="0.2">
      <c r="J2" s="8"/>
    </row>
    <row r="3" spans="10:10" x14ac:dyDescent="0.2">
      <c r="J3" s="8" t="s">
        <v>123</v>
      </c>
    </row>
    <row r="4" spans="10:10" x14ac:dyDescent="0.2">
      <c r="J4" s="8"/>
    </row>
    <row r="5" spans="10:10" x14ac:dyDescent="0.2">
      <c r="J5" s="8" t="s">
        <v>124</v>
      </c>
    </row>
    <row r="6" spans="10:10" x14ac:dyDescent="0.2">
      <c r="J6" s="8"/>
    </row>
    <row r="7" spans="10:10" x14ac:dyDescent="0.2">
      <c r="J7" s="8" t="s">
        <v>342</v>
      </c>
    </row>
    <row r="8" spans="10:10" x14ac:dyDescent="0.2">
      <c r="J8" s="8" t="s">
        <v>343</v>
      </c>
    </row>
    <row r="9" spans="10:10" x14ac:dyDescent="0.2">
      <c r="J9" s="8" t="s">
        <v>125</v>
      </c>
    </row>
    <row r="10" spans="10:10" x14ac:dyDescent="0.2">
      <c r="J10" s="8" t="s">
        <v>345</v>
      </c>
    </row>
    <row r="11" spans="10:10" ht="15.75" x14ac:dyDescent="0.25">
      <c r="J11" s="8" t="s">
        <v>348</v>
      </c>
    </row>
    <row r="13" spans="10:10" x14ac:dyDescent="0.2">
      <c r="J13" s="8" t="s">
        <v>349</v>
      </c>
    </row>
    <row r="14" spans="10:10" x14ac:dyDescent="0.2">
      <c r="J14" s="8" t="s">
        <v>415</v>
      </c>
    </row>
    <row r="15" spans="10:10" x14ac:dyDescent="0.2">
      <c r="J15" s="8" t="s">
        <v>350</v>
      </c>
    </row>
    <row r="26" spans="10:10" x14ac:dyDescent="0.2">
      <c r="J26" s="21" t="s">
        <v>120</v>
      </c>
    </row>
    <row r="27" spans="10:10" x14ac:dyDescent="0.2">
      <c r="J27" s="21"/>
    </row>
    <row r="28" spans="10:10" x14ac:dyDescent="0.2">
      <c r="J28" s="21" t="s">
        <v>123</v>
      </c>
    </row>
    <row r="29" spans="10:10" x14ac:dyDescent="0.2">
      <c r="J29" s="21"/>
    </row>
    <row r="30" spans="10:10" x14ac:dyDescent="0.2">
      <c r="J30" s="21" t="s">
        <v>124</v>
      </c>
    </row>
    <row r="31" spans="10:10" x14ac:dyDescent="0.2">
      <c r="J31" s="21"/>
    </row>
    <row r="32" spans="10:10" x14ac:dyDescent="0.2">
      <c r="J32" s="21" t="s">
        <v>344</v>
      </c>
    </row>
    <row r="33" spans="10:10" x14ac:dyDescent="0.2">
      <c r="J33" s="21" t="s">
        <v>343</v>
      </c>
    </row>
    <row r="34" spans="10:10" x14ac:dyDescent="0.2">
      <c r="J34" s="21" t="s">
        <v>125</v>
      </c>
    </row>
    <row r="35" spans="10:10" x14ac:dyDescent="0.2">
      <c r="J35" s="21" t="s">
        <v>346</v>
      </c>
    </row>
    <row r="36" spans="10:10" ht="15.75" x14ac:dyDescent="0.25">
      <c r="J36" s="21" t="s">
        <v>348</v>
      </c>
    </row>
    <row r="38" spans="10:10" x14ac:dyDescent="0.2">
      <c r="J38" s="21" t="s">
        <v>349</v>
      </c>
    </row>
    <row r="39" spans="10:10" x14ac:dyDescent="0.2">
      <c r="J39" s="21" t="s">
        <v>415</v>
      </c>
    </row>
    <row r="40" spans="10:10" x14ac:dyDescent="0.2">
      <c r="J40" s="21" t="s">
        <v>350</v>
      </c>
    </row>
    <row r="51" spans="10:10" x14ac:dyDescent="0.2">
      <c r="J51" s="107" t="s">
        <v>121</v>
      </c>
    </row>
    <row r="52" spans="10:10" x14ac:dyDescent="0.2">
      <c r="J52" s="107"/>
    </row>
    <row r="53" spans="10:10" x14ac:dyDescent="0.2">
      <c r="J53" s="107" t="s">
        <v>123</v>
      </c>
    </row>
    <row r="54" spans="10:10" x14ac:dyDescent="0.2">
      <c r="J54" s="107"/>
    </row>
    <row r="55" spans="10:10" x14ac:dyDescent="0.2">
      <c r="J55" s="107" t="s">
        <v>124</v>
      </c>
    </row>
    <row r="56" spans="10:10" x14ac:dyDescent="0.2">
      <c r="J56" s="107"/>
    </row>
    <row r="57" spans="10:10" x14ac:dyDescent="0.2">
      <c r="J57" s="107" t="s">
        <v>347</v>
      </c>
    </row>
    <row r="58" spans="10:10" x14ac:dyDescent="0.2">
      <c r="J58" s="107" t="s">
        <v>343</v>
      </c>
    </row>
    <row r="59" spans="10:10" x14ac:dyDescent="0.2">
      <c r="J59" s="107" t="s">
        <v>125</v>
      </c>
    </row>
    <row r="60" spans="10:10" x14ac:dyDescent="0.2">
      <c r="J60" s="107" t="s">
        <v>345</v>
      </c>
    </row>
    <row r="61" spans="10:10" ht="15.75" x14ac:dyDescent="0.25">
      <c r="J61" s="107" t="s">
        <v>348</v>
      </c>
    </row>
    <row r="63" spans="10:10" x14ac:dyDescent="0.2">
      <c r="J63" s="107" t="s">
        <v>349</v>
      </c>
    </row>
    <row r="64" spans="10:10" x14ac:dyDescent="0.2">
      <c r="J64" s="107" t="s">
        <v>415</v>
      </c>
    </row>
    <row r="65" spans="10:10" x14ac:dyDescent="0.2">
      <c r="J65" s="107" t="s">
        <v>350</v>
      </c>
    </row>
    <row r="76" spans="10:10" x14ac:dyDescent="0.2">
      <c r="J76" s="8" t="s">
        <v>122</v>
      </c>
    </row>
    <row r="101" spans="10:10" x14ac:dyDescent="0.2">
      <c r="J101" s="8" t="s">
        <v>122</v>
      </c>
    </row>
    <row r="126" spans="10:10" x14ac:dyDescent="0.2">
      <c r="J126" s="8" t="s">
        <v>122</v>
      </c>
    </row>
    <row r="151" spans="10:10" x14ac:dyDescent="0.2">
      <c r="J151" s="8" t="s">
        <v>122</v>
      </c>
    </row>
    <row r="176" spans="10:10" x14ac:dyDescent="0.2">
      <c r="J176" s="8" t="s">
        <v>122</v>
      </c>
    </row>
    <row r="201" spans="10:10" x14ac:dyDescent="0.2">
      <c r="J201" s="8" t="s">
        <v>122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topLeftCell="A13" workbookViewId="0">
      <selection activeCell="C32" sqref="C32"/>
    </sheetView>
  </sheetViews>
  <sheetFormatPr defaultRowHeight="15" x14ac:dyDescent="0.2"/>
  <cols>
    <col min="1" max="1" width="67.6640625" customWidth="1"/>
  </cols>
  <sheetData>
    <row r="1" spans="1:7" x14ac:dyDescent="0.2">
      <c r="A1" s="78" t="s">
        <v>9</v>
      </c>
      <c r="B1" s="77"/>
      <c r="C1" s="77"/>
      <c r="D1" s="77"/>
      <c r="E1" s="77"/>
      <c r="F1" s="77"/>
      <c r="G1" s="77"/>
    </row>
    <row r="2" spans="1:7" x14ac:dyDescent="0.2">
      <c r="A2" s="79" t="s">
        <v>432</v>
      </c>
      <c r="B2" s="77"/>
      <c r="C2" s="77"/>
      <c r="D2" s="77"/>
      <c r="E2" s="77"/>
      <c r="F2" s="77"/>
      <c r="G2" s="77"/>
    </row>
    <row r="3" spans="1:7" x14ac:dyDescent="0.2">
      <c r="A3" s="79" t="s">
        <v>458</v>
      </c>
      <c r="B3" s="77"/>
      <c r="C3" s="77"/>
      <c r="D3" s="77"/>
      <c r="E3" s="77"/>
      <c r="F3" s="77"/>
      <c r="G3" s="77"/>
    </row>
    <row r="4" spans="1:7" x14ac:dyDescent="0.2">
      <c r="A4" s="83"/>
    </row>
    <row r="5" spans="1:7" x14ac:dyDescent="0.2">
      <c r="A5" s="80" t="s">
        <v>351</v>
      </c>
    </row>
    <row r="6" spans="1:7" x14ac:dyDescent="0.2">
      <c r="A6" s="80"/>
    </row>
    <row r="7" spans="1:7" x14ac:dyDescent="0.2">
      <c r="A7" s="80" t="s">
        <v>433</v>
      </c>
    </row>
    <row r="8" spans="1:7" ht="57" customHeight="1" x14ac:dyDescent="0.2">
      <c r="A8" s="158" t="s">
        <v>448</v>
      </c>
    </row>
    <row r="9" spans="1:7" x14ac:dyDescent="0.2">
      <c r="A9" s="80"/>
    </row>
    <row r="10" spans="1:7" x14ac:dyDescent="0.2">
      <c r="A10" s="80" t="s">
        <v>425</v>
      </c>
    </row>
    <row r="11" spans="1:7" x14ac:dyDescent="0.2">
      <c r="A11" s="80" t="s">
        <v>366</v>
      </c>
    </row>
    <row r="12" spans="1:7" x14ac:dyDescent="0.2">
      <c r="A12" s="80" t="s">
        <v>426</v>
      </c>
    </row>
    <row r="13" spans="1:7" x14ac:dyDescent="0.2">
      <c r="A13" s="80" t="s">
        <v>423</v>
      </c>
    </row>
    <row r="14" spans="1:7" x14ac:dyDescent="0.2">
      <c r="A14" s="80"/>
    </row>
    <row r="15" spans="1:7" x14ac:dyDescent="0.2">
      <c r="A15" s="146" t="s">
        <v>427</v>
      </c>
    </row>
    <row r="16" spans="1:7" x14ac:dyDescent="0.2">
      <c r="A16" s="80" t="s">
        <v>361</v>
      </c>
    </row>
    <row r="17" spans="1:1" x14ac:dyDescent="0.2">
      <c r="A17" s="80" t="s">
        <v>450</v>
      </c>
    </row>
    <row r="18" spans="1:1" x14ac:dyDescent="0.2">
      <c r="A18" s="80" t="s">
        <v>362</v>
      </c>
    </row>
    <row r="19" spans="1:1" x14ac:dyDescent="0.2">
      <c r="A19" s="80"/>
    </row>
    <row r="20" spans="1:1" x14ac:dyDescent="0.2">
      <c r="A20" s="80" t="s">
        <v>356</v>
      </c>
    </row>
    <row r="21" spans="1:1" x14ac:dyDescent="0.2">
      <c r="A21" s="80" t="s">
        <v>355</v>
      </c>
    </row>
    <row r="22" spans="1:1" x14ac:dyDescent="0.2">
      <c r="A22" s="80" t="s">
        <v>451</v>
      </c>
    </row>
    <row r="23" spans="1:1" x14ac:dyDescent="0.2">
      <c r="A23" s="80"/>
    </row>
    <row r="24" spans="1:1" x14ac:dyDescent="0.2">
      <c r="A24" s="80" t="s">
        <v>357</v>
      </c>
    </row>
    <row r="25" spans="1:1" x14ac:dyDescent="0.2">
      <c r="A25" s="80" t="s">
        <v>352</v>
      </c>
    </row>
    <row r="26" spans="1:1" x14ac:dyDescent="0.2">
      <c r="A26" s="80" t="s">
        <v>354</v>
      </c>
    </row>
    <row r="27" spans="1:1" x14ac:dyDescent="0.2">
      <c r="A27" s="80" t="s">
        <v>353</v>
      </c>
    </row>
    <row r="28" spans="1:1" x14ac:dyDescent="0.2">
      <c r="A28" s="80"/>
    </row>
    <row r="29" spans="1:1" x14ac:dyDescent="0.2">
      <c r="A29" s="80" t="s">
        <v>359</v>
      </c>
    </row>
    <row r="30" spans="1:1" x14ac:dyDescent="0.2">
      <c r="A30" s="80" t="s">
        <v>358</v>
      </c>
    </row>
    <row r="31" spans="1:1" x14ac:dyDescent="0.2">
      <c r="A31" s="80" t="s">
        <v>452</v>
      </c>
    </row>
    <row r="32" spans="1:1" ht="15.75" x14ac:dyDescent="0.25">
      <c r="A32" s="80" t="s">
        <v>453</v>
      </c>
    </row>
    <row r="33" spans="1:1" x14ac:dyDescent="0.2">
      <c r="A33" s="80" t="s">
        <v>428</v>
      </c>
    </row>
    <row r="34" spans="1:1" x14ac:dyDescent="0.2">
      <c r="A34" s="80"/>
    </row>
    <row r="35" spans="1:1" x14ac:dyDescent="0.2">
      <c r="A35" s="80" t="s">
        <v>429</v>
      </c>
    </row>
    <row r="36" spans="1:1" x14ac:dyDescent="0.2">
      <c r="A36" s="80" t="s">
        <v>430</v>
      </c>
    </row>
    <row r="37" spans="1:1" ht="15.75" x14ac:dyDescent="0.25">
      <c r="A37" s="147" t="s">
        <v>363</v>
      </c>
    </row>
    <row r="38" spans="1:1" x14ac:dyDescent="0.2">
      <c r="A38" s="80" t="s">
        <v>360</v>
      </c>
    </row>
    <row r="39" spans="1:1" x14ac:dyDescent="0.2">
      <c r="A39" s="80" t="s">
        <v>364</v>
      </c>
    </row>
    <row r="40" spans="1:1" x14ac:dyDescent="0.2">
      <c r="A40" s="80" t="s">
        <v>431</v>
      </c>
    </row>
    <row r="41" spans="1:1" x14ac:dyDescent="0.2">
      <c r="A41" s="80"/>
    </row>
    <row r="42" spans="1:1" x14ac:dyDescent="0.2">
      <c r="A42" s="80" t="s">
        <v>465</v>
      </c>
    </row>
    <row r="43" spans="1:1" x14ac:dyDescent="0.2">
      <c r="A43" s="80" t="s">
        <v>365</v>
      </c>
    </row>
    <row r="44" spans="1:1" x14ac:dyDescent="0.2">
      <c r="A44" s="82" t="s">
        <v>454</v>
      </c>
    </row>
    <row r="45" spans="1:1" x14ac:dyDescent="0.2">
      <c r="A45" s="8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workbookViewId="0">
      <selection activeCell="A24" sqref="A24"/>
    </sheetView>
  </sheetViews>
  <sheetFormatPr defaultRowHeight="15" x14ac:dyDescent="0.2"/>
  <cols>
    <col min="1" max="1" width="133.5546875" customWidth="1"/>
  </cols>
  <sheetData>
    <row r="1" spans="1:5" ht="30" x14ac:dyDescent="0.45">
      <c r="A1" s="150" t="s">
        <v>434</v>
      </c>
      <c r="B1" s="148"/>
      <c r="C1" s="149"/>
      <c r="D1" s="149"/>
      <c r="E1" s="149"/>
    </row>
    <row r="2" spans="1:5" x14ac:dyDescent="0.2">
      <c r="A2" s="151"/>
      <c r="B2" s="149"/>
      <c r="C2" s="149"/>
      <c r="D2" s="149"/>
      <c r="E2" s="149"/>
    </row>
    <row r="3" spans="1:5" x14ac:dyDescent="0.2">
      <c r="A3" s="152" t="s">
        <v>435</v>
      </c>
      <c r="B3" s="149"/>
      <c r="C3" s="149"/>
      <c r="D3" s="149"/>
      <c r="E3" s="149"/>
    </row>
    <row r="4" spans="1:5" x14ac:dyDescent="0.2">
      <c r="A4" s="152" t="s">
        <v>436</v>
      </c>
      <c r="B4" s="149"/>
      <c r="C4" s="149"/>
      <c r="D4" s="149"/>
      <c r="E4" s="149"/>
    </row>
    <row r="5" spans="1:5" x14ac:dyDescent="0.2">
      <c r="A5" s="152" t="s">
        <v>437</v>
      </c>
      <c r="B5" s="149"/>
      <c r="C5" s="149"/>
      <c r="D5" s="149"/>
      <c r="E5" s="149"/>
    </row>
    <row r="6" spans="1:5" x14ac:dyDescent="0.2">
      <c r="A6" s="152" t="s">
        <v>438</v>
      </c>
      <c r="B6" s="149"/>
      <c r="C6" s="149"/>
      <c r="D6" s="149"/>
      <c r="E6" s="149"/>
    </row>
    <row r="7" spans="1:5" x14ac:dyDescent="0.2">
      <c r="A7" s="152" t="s">
        <v>455</v>
      </c>
      <c r="B7" s="149"/>
      <c r="C7" s="149"/>
      <c r="D7" s="149"/>
      <c r="E7" s="149"/>
    </row>
    <row r="8" spans="1:5" x14ac:dyDescent="0.2">
      <c r="A8" s="153" t="s">
        <v>456</v>
      </c>
      <c r="B8" s="149"/>
      <c r="C8" s="149"/>
      <c r="D8" s="149"/>
      <c r="E8" s="149"/>
    </row>
    <row r="9" spans="1:5" x14ac:dyDescent="0.2">
      <c r="A9" s="152" t="s">
        <v>439</v>
      </c>
      <c r="B9" s="149"/>
      <c r="C9" s="149"/>
      <c r="D9" s="149"/>
      <c r="E9" s="149"/>
    </row>
    <row r="10" spans="1:5" x14ac:dyDescent="0.2">
      <c r="A10" s="152" t="s">
        <v>440</v>
      </c>
      <c r="B10" s="149"/>
      <c r="C10" s="149"/>
      <c r="D10" s="149"/>
      <c r="E10" s="149"/>
    </row>
    <row r="11" spans="1:5" x14ac:dyDescent="0.2">
      <c r="A11" s="152" t="s">
        <v>442</v>
      </c>
      <c r="B11" s="149"/>
      <c r="C11" s="149"/>
      <c r="D11" s="149"/>
      <c r="E11" s="149"/>
    </row>
    <row r="12" spans="1:5" x14ac:dyDescent="0.2">
      <c r="A12" s="152" t="s">
        <v>443</v>
      </c>
      <c r="B12" s="149"/>
      <c r="C12" s="149"/>
      <c r="D12" s="149"/>
      <c r="E12" s="149"/>
    </row>
    <row r="13" spans="1:5" x14ac:dyDescent="0.2">
      <c r="A13" s="152" t="s">
        <v>444</v>
      </c>
      <c r="B13" s="149"/>
      <c r="C13" s="149"/>
      <c r="D13" s="149"/>
      <c r="E13" s="149"/>
    </row>
    <row r="14" spans="1:5" x14ac:dyDescent="0.2">
      <c r="A14" s="152" t="s">
        <v>445</v>
      </c>
      <c r="B14" s="149"/>
      <c r="C14" s="149"/>
      <c r="D14" s="149"/>
      <c r="E14" s="149"/>
    </row>
    <row r="15" spans="1:5" x14ac:dyDescent="0.2">
      <c r="A15" s="152" t="s">
        <v>446</v>
      </c>
      <c r="B15" s="149"/>
      <c r="C15" s="149"/>
      <c r="D15" s="149"/>
      <c r="E15" s="149"/>
    </row>
    <row r="16" spans="1:5" x14ac:dyDescent="0.2">
      <c r="A16" s="152" t="s">
        <v>449</v>
      </c>
      <c r="B16" s="149"/>
      <c r="C16" s="149"/>
      <c r="D16" s="149"/>
      <c r="E16" s="149"/>
    </row>
    <row r="17" spans="1:5" x14ac:dyDescent="0.2">
      <c r="A17" s="154" t="s">
        <v>457</v>
      </c>
      <c r="B17" s="149"/>
      <c r="C17" s="149"/>
      <c r="D17" s="149"/>
      <c r="E17" s="149"/>
    </row>
    <row r="18" spans="1:5" x14ac:dyDescent="0.2">
      <c r="A18" s="152" t="s">
        <v>441</v>
      </c>
      <c r="B18" s="149"/>
      <c r="C18" s="149"/>
      <c r="D18" s="149"/>
      <c r="E18" s="149"/>
    </row>
    <row r="19" spans="1:5" x14ac:dyDescent="0.2">
      <c r="A19" s="152" t="s">
        <v>461</v>
      </c>
      <c r="B19" s="149"/>
      <c r="C19" s="149"/>
      <c r="D19" s="149"/>
      <c r="E19" s="149"/>
    </row>
    <row r="20" spans="1:5" x14ac:dyDescent="0.2">
      <c r="A20" s="152" t="s">
        <v>462</v>
      </c>
      <c r="B20" s="149"/>
      <c r="C20" s="149"/>
      <c r="D20" s="149"/>
      <c r="E20" s="149"/>
    </row>
    <row r="21" spans="1:5" x14ac:dyDescent="0.2">
      <c r="A21" s="153" t="s">
        <v>463</v>
      </c>
      <c r="B21" s="149"/>
      <c r="C21" s="149"/>
      <c r="D21" s="149"/>
      <c r="E21" s="149"/>
    </row>
    <row r="22" spans="1:5" x14ac:dyDescent="0.2">
      <c r="A22" s="155"/>
      <c r="B22" s="149"/>
      <c r="C22" s="149"/>
      <c r="D22" s="149"/>
      <c r="E22" s="149"/>
    </row>
    <row r="23" spans="1:5" x14ac:dyDescent="0.2">
      <c r="A23" s="155" t="s">
        <v>464</v>
      </c>
    </row>
    <row r="24" spans="1:5" x14ac:dyDescent="0.2">
      <c r="A24" s="156"/>
    </row>
    <row r="25" spans="1:5" x14ac:dyDescent="0.2">
      <c r="A25" s="155" t="s">
        <v>447</v>
      </c>
    </row>
    <row r="26" spans="1:5" x14ac:dyDescent="0.2">
      <c r="A26" s="155" t="s">
        <v>459</v>
      </c>
    </row>
    <row r="27" spans="1:5" x14ac:dyDescent="0.2">
      <c r="A27" s="155" t="s">
        <v>9</v>
      </c>
    </row>
    <row r="28" spans="1:5" ht="15.75" x14ac:dyDescent="0.25">
      <c r="A28" s="157">
        <v>42422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study base</vt:lpstr>
      <vt:lpstr>graphics</vt:lpstr>
      <vt:lpstr>user notes</vt:lpstr>
      <vt:lpstr>disclaimers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Bonamy</dc:creator>
  <cp:lastModifiedBy>Kevin Trucks</cp:lastModifiedBy>
  <cp:lastPrinted>2016-02-11T20:36:56Z</cp:lastPrinted>
  <dcterms:created xsi:type="dcterms:W3CDTF">2016-02-02T21:25:41Z</dcterms:created>
  <dcterms:modified xsi:type="dcterms:W3CDTF">2018-10-31T16:01:53Z</dcterms:modified>
</cp:coreProperties>
</file>